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75" windowWidth="9315" windowHeight="7755" activeTab="2"/>
  </bookViews>
  <sheets>
    <sheet name="Proyecto Puro" sheetId="1" r:id="rId1"/>
    <sheet name="Proyecto Financiado" sheetId="7" r:id="rId2"/>
    <sheet name="Participación Soc." sheetId="6" r:id="rId3"/>
    <sheet name="Negocio" sheetId="5" r:id="rId4"/>
    <sheet name="Departamento Tipo" sheetId="8" r:id="rId5"/>
    <sheet name="Cifras" sheetId="2" r:id="rId6"/>
  </sheets>
  <calcPr calcId="144525"/>
</workbook>
</file>

<file path=xl/calcChain.xml><?xml version="1.0" encoding="utf-8"?>
<calcChain xmlns="http://schemas.openxmlformats.org/spreadsheetml/2006/main">
  <c r="C3" i="7" l="1"/>
  <c r="D13" i="5" l="1"/>
  <c r="S57" i="2" l="1"/>
  <c r="AC59" i="2"/>
  <c r="AB59" i="2"/>
  <c r="AA59" i="2"/>
  <c r="Z59" i="2"/>
  <c r="Y59" i="2"/>
  <c r="X59" i="2"/>
  <c r="W59" i="2"/>
  <c r="V59" i="2"/>
  <c r="U59" i="2"/>
  <c r="T59" i="2"/>
  <c r="S59" i="2"/>
  <c r="AC58" i="2"/>
  <c r="AB58" i="2"/>
  <c r="AA58" i="2"/>
  <c r="Z58" i="2"/>
  <c r="Y58" i="2"/>
  <c r="X58" i="2"/>
  <c r="W58" i="2"/>
  <c r="V58" i="2"/>
  <c r="U58" i="2"/>
  <c r="T58" i="2"/>
  <c r="S58" i="2"/>
  <c r="AC57" i="2"/>
  <c r="AB57" i="2"/>
  <c r="AA57" i="2"/>
  <c r="Z57" i="2"/>
  <c r="Y57" i="2"/>
  <c r="X57" i="2"/>
  <c r="W57" i="2"/>
  <c r="V57" i="2"/>
  <c r="U57" i="2"/>
  <c r="T57" i="2"/>
  <c r="S52" i="2"/>
  <c r="R54" i="2"/>
  <c r="R53" i="2"/>
  <c r="R52" i="2"/>
  <c r="N59" i="7" l="1"/>
  <c r="L60" i="7"/>
  <c r="L59" i="7"/>
  <c r="H59" i="7"/>
  <c r="H60" i="7"/>
  <c r="D60" i="7"/>
  <c r="D59" i="7"/>
  <c r="C62" i="7"/>
  <c r="C61" i="7"/>
  <c r="T31" i="2"/>
  <c r="M51" i="7"/>
  <c r="D51" i="7"/>
  <c r="C51" i="7"/>
  <c r="E51" i="7"/>
  <c r="F51" i="7"/>
  <c r="G51" i="7"/>
  <c r="H51" i="7"/>
  <c r="I51" i="7"/>
  <c r="J51" i="7"/>
  <c r="K51" i="7"/>
  <c r="L51" i="7"/>
  <c r="D46" i="7"/>
  <c r="E46" i="7"/>
  <c r="F46" i="7"/>
  <c r="G46" i="7"/>
  <c r="H46" i="7"/>
  <c r="I46" i="7"/>
  <c r="J46" i="7"/>
  <c r="K46" i="7"/>
  <c r="L46" i="7"/>
  <c r="M46" i="7"/>
  <c r="C46" i="7"/>
  <c r="M32" i="7"/>
  <c r="L32" i="7"/>
  <c r="K32" i="7"/>
  <c r="J32" i="7"/>
  <c r="I32" i="7"/>
  <c r="H32" i="7"/>
  <c r="G32" i="7"/>
  <c r="F32" i="7"/>
  <c r="E32" i="7"/>
  <c r="D32" i="7"/>
  <c r="C32" i="7"/>
  <c r="D27" i="7"/>
  <c r="E27" i="7"/>
  <c r="F27" i="7"/>
  <c r="G27" i="7"/>
  <c r="H27" i="7"/>
  <c r="I27" i="7"/>
  <c r="J27" i="7"/>
  <c r="K27" i="7"/>
  <c r="L27" i="7"/>
  <c r="M27" i="7"/>
  <c r="C27" i="7"/>
  <c r="I139" i="2"/>
  <c r="AB18" i="2"/>
  <c r="AB28" i="2"/>
  <c r="AB27" i="2"/>
  <c r="AB26" i="2"/>
  <c r="AB25" i="2"/>
  <c r="AB24" i="2"/>
  <c r="AB23" i="2"/>
  <c r="AB22" i="2"/>
  <c r="AB21" i="2"/>
  <c r="AB20" i="2"/>
  <c r="AB19" i="2"/>
  <c r="Z28" i="2"/>
  <c r="Z27" i="2"/>
  <c r="Z26" i="2"/>
  <c r="Z25" i="2"/>
  <c r="Z24" i="2"/>
  <c r="Z23" i="2"/>
  <c r="Z22" i="2"/>
  <c r="Z21" i="2"/>
  <c r="Z20" i="2"/>
  <c r="Z19" i="2"/>
  <c r="Z18" i="2"/>
  <c r="L52" i="1"/>
  <c r="H51" i="1"/>
  <c r="L51" i="1"/>
  <c r="M50" i="1"/>
  <c r="L50" i="1"/>
  <c r="H52" i="1"/>
  <c r="H50" i="1"/>
  <c r="D51" i="1"/>
  <c r="D50" i="1"/>
  <c r="T19" i="2"/>
  <c r="T28" i="2"/>
  <c r="T25" i="2"/>
  <c r="R26" i="2"/>
  <c r="D6" i="2"/>
  <c r="C53" i="1" s="1"/>
  <c r="C37" i="1"/>
  <c r="C42" i="1" s="1"/>
  <c r="S36" i="2"/>
  <c r="C21" i="1"/>
  <c r="C26" i="1" s="1"/>
  <c r="S41" i="2"/>
  <c r="D11" i="1"/>
  <c r="C4" i="1"/>
  <c r="C5" i="1"/>
  <c r="C10" i="1" s="1"/>
  <c r="D3" i="1"/>
  <c r="E11" i="1" s="1"/>
  <c r="C3" i="1"/>
  <c r="AC54" i="2"/>
  <c r="AC53" i="2"/>
  <c r="T54" i="2"/>
  <c r="T53" i="2"/>
  <c r="S54" i="2"/>
  <c r="S53" i="2"/>
  <c r="AC52" i="2"/>
  <c r="AB52" i="2"/>
  <c r="U52" i="2"/>
  <c r="T52" i="2"/>
  <c r="S46" i="2"/>
  <c r="D28" i="2"/>
  <c r="D27" i="2"/>
  <c r="D26" i="2"/>
  <c r="C28" i="2"/>
  <c r="D25" i="2"/>
  <c r="D24" i="2"/>
  <c r="D23" i="2"/>
  <c r="C34" i="2"/>
  <c r="C33" i="2"/>
  <c r="C32" i="2"/>
  <c r="C26" i="2"/>
  <c r="C27" i="2" s="1"/>
  <c r="C25" i="2"/>
  <c r="C24" i="2"/>
  <c r="C23" i="2"/>
  <c r="C20" i="2"/>
  <c r="C15" i="2"/>
  <c r="E13" i="5"/>
  <c r="E12" i="5"/>
  <c r="F13" i="5"/>
  <c r="F12" i="5"/>
  <c r="O14" i="2"/>
  <c r="O13" i="2"/>
  <c r="O12" i="2"/>
  <c r="M7" i="2"/>
  <c r="L8" i="2"/>
  <c r="L7" i="2"/>
  <c r="E3" i="2"/>
  <c r="D5" i="2"/>
  <c r="D4" i="2"/>
  <c r="D3" i="2"/>
  <c r="N15" i="2"/>
  <c r="M15" i="2"/>
  <c r="L15" i="2"/>
  <c r="K15" i="2"/>
  <c r="J15" i="2"/>
  <c r="I15" i="2"/>
  <c r="H15" i="2"/>
  <c r="G15" i="2"/>
  <c r="F15" i="2"/>
  <c r="E15" i="2"/>
  <c r="D15" i="2"/>
  <c r="K12" i="8"/>
  <c r="C5" i="2"/>
  <c r="C4" i="2"/>
  <c r="C3" i="2"/>
  <c r="C46" i="8"/>
  <c r="C44" i="8"/>
  <c r="C43" i="8"/>
  <c r="C18" i="8"/>
  <c r="C50" i="8"/>
  <c r="C51" i="8" s="1"/>
  <c r="C53" i="8" s="1"/>
  <c r="C54" i="8" s="1"/>
  <c r="C37" i="8"/>
  <c r="C35" i="8"/>
  <c r="C31" i="8"/>
  <c r="C32" i="8" s="1"/>
  <c r="C30" i="8"/>
  <c r="C19" i="8"/>
  <c r="C11" i="8"/>
  <c r="I10" i="8"/>
  <c r="I11" i="8" s="1"/>
  <c r="H10" i="8"/>
  <c r="G10" i="8"/>
  <c r="G11" i="8" s="1"/>
  <c r="C3" i="8"/>
  <c r="C19" i="1" l="1"/>
  <c r="C6" i="1"/>
  <c r="C35" i="1"/>
  <c r="C7" i="1"/>
  <c r="D4" i="1"/>
  <c r="E3" i="1"/>
  <c r="D6" i="1"/>
  <c r="D52" i="1"/>
  <c r="D34" i="2"/>
  <c r="D33" i="2"/>
  <c r="D32" i="2"/>
  <c r="M2" i="2"/>
  <c r="P12" i="2"/>
  <c r="C33" i="8"/>
  <c r="C38" i="8" s="1"/>
  <c r="H11" i="8"/>
  <c r="C21" i="8"/>
  <c r="C22" i="8" s="1"/>
  <c r="C24" i="8" s="1"/>
  <c r="C14" i="1" l="1"/>
  <c r="C8" i="1"/>
  <c r="C9" i="1" s="1"/>
  <c r="F3" i="1"/>
  <c r="F11" i="1"/>
  <c r="E4" i="1"/>
  <c r="E7" i="1" s="1"/>
  <c r="E6" i="1"/>
  <c r="C36" i="1"/>
  <c r="C39" i="1" s="1"/>
  <c r="D35" i="1"/>
  <c r="D43" i="1"/>
  <c r="C38" i="1"/>
  <c r="C20" i="1"/>
  <c r="C23" i="1" s="1"/>
  <c r="C22" i="1"/>
  <c r="D27" i="1"/>
  <c r="D19" i="1"/>
  <c r="M3" i="2"/>
  <c r="M4" i="2" s="1"/>
  <c r="F3" i="2"/>
  <c r="F23" i="8"/>
  <c r="C25" i="8"/>
  <c r="C28" i="8" s="1"/>
  <c r="C27" i="8" s="1"/>
  <c r="C40" i="8"/>
  <c r="C41" i="8" s="1"/>
  <c r="C39" i="8"/>
  <c r="G61" i="7"/>
  <c r="K61" i="7" s="1"/>
  <c r="M5" i="7"/>
  <c r="M5" i="1"/>
  <c r="Z53" i="2"/>
  <c r="V53" i="2"/>
  <c r="Y53" i="2"/>
  <c r="U53" i="2"/>
  <c r="AB53" i="2"/>
  <c r="X53" i="2"/>
  <c r="AA53" i="2"/>
  <c r="W53" i="2"/>
  <c r="Y52" i="2"/>
  <c r="E5" i="1"/>
  <c r="L5" i="7"/>
  <c r="X52" i="2"/>
  <c r="D5" i="1"/>
  <c r="AA52" i="2"/>
  <c r="W52" i="2"/>
  <c r="Z52" i="2"/>
  <c r="V52" i="2"/>
  <c r="AA54" i="2"/>
  <c r="W54" i="2"/>
  <c r="Z54" i="2"/>
  <c r="V54" i="2"/>
  <c r="Y54" i="2"/>
  <c r="U54" i="2"/>
  <c r="AB54" i="2"/>
  <c r="X54" i="2"/>
  <c r="D3" i="7" l="1"/>
  <c r="C22" i="7"/>
  <c r="C41" i="7"/>
  <c r="C4" i="7"/>
  <c r="D14" i="7"/>
  <c r="L43" i="7"/>
  <c r="L50" i="7" s="1"/>
  <c r="L12" i="7"/>
  <c r="M24" i="7"/>
  <c r="M31" i="7" s="1"/>
  <c r="M43" i="7"/>
  <c r="M50" i="7" s="1"/>
  <c r="M12" i="7"/>
  <c r="C30" i="1"/>
  <c r="C24" i="1"/>
  <c r="C25" i="1" s="1"/>
  <c r="C40" i="1"/>
  <c r="C46" i="1"/>
  <c r="C41" i="1"/>
  <c r="C15" i="1"/>
  <c r="C12" i="1"/>
  <c r="E8" i="1"/>
  <c r="E9" i="1"/>
  <c r="E12" i="1" s="1"/>
  <c r="D38" i="1"/>
  <c r="E43" i="1"/>
  <c r="E35" i="1"/>
  <c r="D36" i="1"/>
  <c r="E21" i="1"/>
  <c r="E37" i="1"/>
  <c r="D20" i="1"/>
  <c r="D23" i="1" s="1"/>
  <c r="E27" i="1"/>
  <c r="E19" i="1"/>
  <c r="D22" i="1"/>
  <c r="D37" i="1"/>
  <c r="D21" i="1"/>
  <c r="M21" i="1"/>
  <c r="M37" i="1"/>
  <c r="M42" i="1" s="1"/>
  <c r="F4" i="1"/>
  <c r="F7" i="1" s="1"/>
  <c r="F6" i="1"/>
  <c r="G11" i="1"/>
  <c r="G3" i="1"/>
  <c r="D7" i="1"/>
  <c r="C6" i="7"/>
  <c r="H12" i="8"/>
  <c r="G12" i="8"/>
  <c r="I12" i="8"/>
  <c r="E10" i="1"/>
  <c r="L24" i="7"/>
  <c r="L31" i="7" s="1"/>
  <c r="D10" i="1"/>
  <c r="C5" i="7"/>
  <c r="I5" i="7"/>
  <c r="I5" i="1"/>
  <c r="I37" i="1" s="1"/>
  <c r="F5" i="7"/>
  <c r="F5" i="1"/>
  <c r="K5" i="7"/>
  <c r="K5" i="1"/>
  <c r="E5" i="7"/>
  <c r="J5" i="7"/>
  <c r="J5" i="1"/>
  <c r="J37" i="1" s="1"/>
  <c r="D5" i="7"/>
  <c r="G53" i="1"/>
  <c r="K53" i="1" s="1"/>
  <c r="G5" i="7"/>
  <c r="G5" i="1"/>
  <c r="G37" i="1" s="1"/>
  <c r="L5" i="1"/>
  <c r="H5" i="7"/>
  <c r="H5" i="1"/>
  <c r="H37" i="1" s="1"/>
  <c r="M10" i="1"/>
  <c r="M26" i="1"/>
  <c r="D24" i="7" l="1"/>
  <c r="D31" i="7" s="1"/>
  <c r="D12" i="7"/>
  <c r="D43" i="7"/>
  <c r="D50" i="7" s="1"/>
  <c r="K43" i="7"/>
  <c r="K50" i="7" s="1"/>
  <c r="K12" i="7"/>
  <c r="I24" i="7"/>
  <c r="I31" i="7" s="1"/>
  <c r="I43" i="7"/>
  <c r="I50" i="7" s="1"/>
  <c r="I12" i="7"/>
  <c r="D52" i="7"/>
  <c r="C44" i="7"/>
  <c r="D41" i="7"/>
  <c r="C42" i="7"/>
  <c r="C45" i="7" s="1"/>
  <c r="G43" i="7"/>
  <c r="G50" i="7" s="1"/>
  <c r="G12" i="7"/>
  <c r="J24" i="7"/>
  <c r="J31" i="7" s="1"/>
  <c r="J43" i="7"/>
  <c r="J50" i="7" s="1"/>
  <c r="J12" i="7"/>
  <c r="C43" i="7"/>
  <c r="C50" i="7" s="1"/>
  <c r="C12" i="7"/>
  <c r="C24" i="7"/>
  <c r="C31" i="7" s="1"/>
  <c r="D22" i="7"/>
  <c r="D33" i="7"/>
  <c r="C25" i="7"/>
  <c r="C23" i="7"/>
  <c r="C26" i="7" s="1"/>
  <c r="H12" i="7"/>
  <c r="H43" i="7"/>
  <c r="H50" i="7" s="1"/>
  <c r="E43" i="7"/>
  <c r="E50" i="7" s="1"/>
  <c r="E12" i="7"/>
  <c r="F24" i="7"/>
  <c r="F31" i="7" s="1"/>
  <c r="F12" i="7"/>
  <c r="F43" i="7"/>
  <c r="F50" i="7" s="1"/>
  <c r="E3" i="7"/>
  <c r="E4" i="7" s="1"/>
  <c r="E14" i="7"/>
  <c r="F8" i="1"/>
  <c r="F9" i="1" s="1"/>
  <c r="F12" i="1" s="1"/>
  <c r="D24" i="1"/>
  <c r="D25" i="1" s="1"/>
  <c r="D30" i="1"/>
  <c r="C31" i="1"/>
  <c r="C28" i="1"/>
  <c r="L21" i="1"/>
  <c r="L37" i="1"/>
  <c r="K21" i="1"/>
  <c r="K26" i="1" s="1"/>
  <c r="K37" i="1"/>
  <c r="H11" i="1"/>
  <c r="G6" i="1"/>
  <c r="G7" i="1"/>
  <c r="G4" i="1"/>
  <c r="H3" i="1"/>
  <c r="F43" i="1"/>
  <c r="E38" i="1"/>
  <c r="E39" i="1" s="1"/>
  <c r="E36" i="1"/>
  <c r="F35" i="1"/>
  <c r="C44" i="1"/>
  <c r="C47" i="1"/>
  <c r="F37" i="1"/>
  <c r="F21" i="1"/>
  <c r="F26" i="1" s="1"/>
  <c r="D8" i="1"/>
  <c r="D9" i="1" s="1"/>
  <c r="D12" i="1" s="1"/>
  <c r="F27" i="1"/>
  <c r="E22" i="1"/>
  <c r="E20" i="1"/>
  <c r="E23" i="1" s="1"/>
  <c r="F19" i="1"/>
  <c r="E14" i="1"/>
  <c r="H13" i="8"/>
  <c r="H18" i="8" s="1"/>
  <c r="G13" i="8"/>
  <c r="H17" i="8" s="1"/>
  <c r="I13" i="8"/>
  <c r="H19" i="8" s="1"/>
  <c r="C7" i="7"/>
  <c r="D4" i="7"/>
  <c r="E24" i="7"/>
  <c r="E31" i="7" s="1"/>
  <c r="G24" i="7"/>
  <c r="G31" i="7" s="1"/>
  <c r="D6" i="7"/>
  <c r="K24" i="7"/>
  <c r="K31" i="7" s="1"/>
  <c r="H24" i="7"/>
  <c r="H31" i="7" s="1"/>
  <c r="L26" i="1"/>
  <c r="L10" i="1"/>
  <c r="L42" i="1"/>
  <c r="J21" i="1"/>
  <c r="J26" i="1" s="1"/>
  <c r="J10" i="1"/>
  <c r="J42" i="1"/>
  <c r="K10" i="1"/>
  <c r="K42" i="1"/>
  <c r="I21" i="1"/>
  <c r="I26" i="1" s="1"/>
  <c r="I10" i="1"/>
  <c r="I42" i="1"/>
  <c r="H10" i="1"/>
  <c r="H42" i="1"/>
  <c r="H21" i="1"/>
  <c r="H26" i="1" s="1"/>
  <c r="G42" i="1"/>
  <c r="G21" i="1"/>
  <c r="G26" i="1" s="1"/>
  <c r="G10" i="1"/>
  <c r="D26" i="1"/>
  <c r="D42" i="1"/>
  <c r="E42" i="1"/>
  <c r="E26" i="1"/>
  <c r="F42" i="1"/>
  <c r="F10" i="1"/>
  <c r="E6" i="7"/>
  <c r="C36" i="7" l="1"/>
  <c r="C28" i="7"/>
  <c r="C55" i="7"/>
  <c r="C47" i="7"/>
  <c r="C17" i="7"/>
  <c r="C9" i="7"/>
  <c r="D44" i="7"/>
  <c r="E41" i="7"/>
  <c r="E52" i="7"/>
  <c r="D42" i="7"/>
  <c r="F3" i="7"/>
  <c r="G14" i="7" s="1"/>
  <c r="F14" i="7"/>
  <c r="E33" i="7"/>
  <c r="D25" i="7"/>
  <c r="D23" i="7"/>
  <c r="E22" i="7"/>
  <c r="E46" i="1"/>
  <c r="E24" i="1"/>
  <c r="E25" i="1" s="1"/>
  <c r="E30" i="1"/>
  <c r="D31" i="1"/>
  <c r="D28" i="1"/>
  <c r="G35" i="1"/>
  <c r="F36" i="1"/>
  <c r="F39" i="1" s="1"/>
  <c r="G43" i="1"/>
  <c r="F38" i="1"/>
  <c r="F22" i="1"/>
  <c r="F23" i="1"/>
  <c r="G19" i="1"/>
  <c r="G27" i="1"/>
  <c r="F20" i="1"/>
  <c r="I3" i="1"/>
  <c r="H4" i="1"/>
  <c r="I11" i="1"/>
  <c r="H6" i="1"/>
  <c r="H7" i="1" s="1"/>
  <c r="G8" i="1"/>
  <c r="G9" i="1"/>
  <c r="G12" i="1" s="1"/>
  <c r="D14" i="1"/>
  <c r="E15" i="1"/>
  <c r="H14" i="8"/>
  <c r="I14" i="8"/>
  <c r="G14" i="8"/>
  <c r="D7" i="7"/>
  <c r="D15" i="1"/>
  <c r="E7" i="7"/>
  <c r="G3" i="7"/>
  <c r="H14" i="7" s="1"/>
  <c r="F6" i="7" l="1"/>
  <c r="D45" i="7"/>
  <c r="F4" i="7"/>
  <c r="D26" i="7"/>
  <c r="D28" i="7" s="1"/>
  <c r="D29" i="7" s="1"/>
  <c r="D55" i="7"/>
  <c r="D47" i="7"/>
  <c r="D9" i="7"/>
  <c r="D17" i="7"/>
  <c r="F52" i="7"/>
  <c r="E42" i="7"/>
  <c r="E45" i="7" s="1"/>
  <c r="E44" i="7"/>
  <c r="F41" i="7"/>
  <c r="C48" i="7"/>
  <c r="C49" i="7"/>
  <c r="E17" i="7"/>
  <c r="E9" i="7"/>
  <c r="E25" i="7"/>
  <c r="E23" i="7"/>
  <c r="E26" i="7" s="1"/>
  <c r="F22" i="7"/>
  <c r="F33" i="7"/>
  <c r="C10" i="7"/>
  <c r="C11" i="7" s="1"/>
  <c r="C29" i="7"/>
  <c r="C30" i="7" s="1"/>
  <c r="E28" i="1"/>
  <c r="E31" i="1"/>
  <c r="H8" i="1"/>
  <c r="H9" i="1" s="1"/>
  <c r="H12" i="1" s="1"/>
  <c r="F46" i="1"/>
  <c r="F30" i="1"/>
  <c r="F24" i="1"/>
  <c r="F25" i="1" s="1"/>
  <c r="H35" i="1"/>
  <c r="G36" i="1"/>
  <c r="G39" i="1" s="1"/>
  <c r="H43" i="1"/>
  <c r="G38" i="1"/>
  <c r="J3" i="1"/>
  <c r="I4" i="1"/>
  <c r="J11" i="1"/>
  <c r="I7" i="1"/>
  <c r="I6" i="1"/>
  <c r="H27" i="1"/>
  <c r="G20" i="1"/>
  <c r="G23" i="1" s="1"/>
  <c r="H19" i="1"/>
  <c r="G22" i="1"/>
  <c r="D39" i="1"/>
  <c r="F7" i="7"/>
  <c r="G6" i="7"/>
  <c r="H3" i="7"/>
  <c r="I14" i="7" s="1"/>
  <c r="G4" i="7"/>
  <c r="D36" i="7" l="1"/>
  <c r="C37" i="7"/>
  <c r="C34" i="7"/>
  <c r="E36" i="7"/>
  <c r="E28" i="7"/>
  <c r="E55" i="7"/>
  <c r="E47" i="7"/>
  <c r="C18" i="7"/>
  <c r="C15" i="7"/>
  <c r="F17" i="7"/>
  <c r="F9" i="7"/>
  <c r="C53" i="7"/>
  <c r="C56" i="7"/>
  <c r="D10" i="7"/>
  <c r="D11" i="7" s="1"/>
  <c r="D48" i="7"/>
  <c r="D49" i="7" s="1"/>
  <c r="G22" i="7"/>
  <c r="G33" i="7"/>
  <c r="F23" i="7"/>
  <c r="F25" i="7"/>
  <c r="E10" i="7"/>
  <c r="E11" i="7" s="1"/>
  <c r="F42" i="7"/>
  <c r="F44" i="7"/>
  <c r="G41" i="7"/>
  <c r="G52" i="7"/>
  <c r="D30" i="7"/>
  <c r="G30" i="1"/>
  <c r="G24" i="1"/>
  <c r="G25" i="1" s="1"/>
  <c r="G46" i="1"/>
  <c r="F28" i="1"/>
  <c r="F31" i="1"/>
  <c r="I43" i="1"/>
  <c r="H38" i="1"/>
  <c r="I35" i="1"/>
  <c r="H36" i="1"/>
  <c r="H39" i="1" s="1"/>
  <c r="I8" i="1"/>
  <c r="I9" i="1"/>
  <c r="I12" i="1" s="1"/>
  <c r="D46" i="1"/>
  <c r="I27" i="1"/>
  <c r="H20" i="1"/>
  <c r="H23" i="1" s="1"/>
  <c r="I19" i="1"/>
  <c r="H22" i="1"/>
  <c r="J4" i="1"/>
  <c r="J7" i="1" s="1"/>
  <c r="K11" i="1"/>
  <c r="J6" i="1"/>
  <c r="K3" i="1"/>
  <c r="D40" i="1"/>
  <c r="D41" i="1" s="1"/>
  <c r="G7" i="7"/>
  <c r="H6" i="7"/>
  <c r="I3" i="7"/>
  <c r="J14" i="7" s="1"/>
  <c r="H4" i="7"/>
  <c r="F45" i="7" l="1"/>
  <c r="F47" i="7" s="1"/>
  <c r="F48" i="7" s="1"/>
  <c r="F49" i="7" s="1"/>
  <c r="F53" i="7" s="1"/>
  <c r="F26" i="7"/>
  <c r="F28" i="7" s="1"/>
  <c r="D56" i="7"/>
  <c r="D53" i="7"/>
  <c r="D37" i="7"/>
  <c r="D34" i="7"/>
  <c r="D18" i="7"/>
  <c r="D15" i="7"/>
  <c r="E29" i="7"/>
  <c r="E30" i="7" s="1"/>
  <c r="G17" i="7"/>
  <c r="G9" i="7"/>
  <c r="E15" i="7"/>
  <c r="E18" i="7"/>
  <c r="G44" i="7"/>
  <c r="H41" i="7"/>
  <c r="H52" i="7"/>
  <c r="G42" i="7"/>
  <c r="H22" i="7"/>
  <c r="H33" i="7"/>
  <c r="G25" i="7"/>
  <c r="G23" i="7"/>
  <c r="F10" i="7"/>
  <c r="F11" i="7" s="1"/>
  <c r="E48" i="7"/>
  <c r="E49" i="7" s="1"/>
  <c r="J8" i="1"/>
  <c r="J9" i="1" s="1"/>
  <c r="J12" i="1" s="1"/>
  <c r="H46" i="1"/>
  <c r="D47" i="1"/>
  <c r="D44" i="1"/>
  <c r="H24" i="1"/>
  <c r="H25" i="1" s="1"/>
  <c r="H30" i="1"/>
  <c r="G31" i="1"/>
  <c r="G28" i="1"/>
  <c r="L11" i="1"/>
  <c r="K6" i="1"/>
  <c r="K7" i="1"/>
  <c r="L3" i="1"/>
  <c r="K4" i="1"/>
  <c r="I22" i="1"/>
  <c r="J19" i="1"/>
  <c r="J27" i="1"/>
  <c r="I20" i="1"/>
  <c r="I23" i="1"/>
  <c r="J43" i="1"/>
  <c r="I38" i="1"/>
  <c r="J35" i="1"/>
  <c r="I36" i="1"/>
  <c r="I39" i="1" s="1"/>
  <c r="F14" i="1"/>
  <c r="F40" i="1"/>
  <c r="F41" i="1" s="1"/>
  <c r="E40" i="1"/>
  <c r="E41" i="1" s="1"/>
  <c r="H7" i="7"/>
  <c r="G14" i="1"/>
  <c r="F15" i="1"/>
  <c r="I4" i="7"/>
  <c r="I6" i="7"/>
  <c r="J3" i="7"/>
  <c r="K14" i="7" s="1"/>
  <c r="F36" i="7" l="1"/>
  <c r="F29" i="7"/>
  <c r="F30" i="7" s="1"/>
  <c r="G26" i="7"/>
  <c r="G28" i="7" s="1"/>
  <c r="G45" i="7"/>
  <c r="G47" i="7" s="1"/>
  <c r="G36" i="7"/>
  <c r="G48" i="7"/>
  <c r="G49" i="7" s="1"/>
  <c r="G53" i="7" s="1"/>
  <c r="E34" i="7"/>
  <c r="E37" i="7"/>
  <c r="E53" i="7"/>
  <c r="E56" i="7"/>
  <c r="H9" i="7"/>
  <c r="H17" i="7"/>
  <c r="F15" i="7"/>
  <c r="F18" i="7"/>
  <c r="I33" i="7"/>
  <c r="H25" i="7"/>
  <c r="H23" i="7"/>
  <c r="I22" i="7"/>
  <c r="H44" i="7"/>
  <c r="I41" i="7"/>
  <c r="I52" i="7"/>
  <c r="H45" i="7"/>
  <c r="H47" i="7" s="1"/>
  <c r="H42" i="7"/>
  <c r="G10" i="7"/>
  <c r="G11" i="7" s="1"/>
  <c r="H31" i="1"/>
  <c r="H28" i="1"/>
  <c r="I46" i="1"/>
  <c r="J22" i="1"/>
  <c r="J23" i="1"/>
  <c r="K27" i="1"/>
  <c r="J20" i="1"/>
  <c r="K19" i="1"/>
  <c r="F44" i="1"/>
  <c r="F47" i="1"/>
  <c r="K35" i="1"/>
  <c r="J36" i="1"/>
  <c r="J39" i="1" s="1"/>
  <c r="J38" i="1"/>
  <c r="K43" i="1"/>
  <c r="K8" i="1"/>
  <c r="K9" i="1" s="1"/>
  <c r="K12" i="1" s="1"/>
  <c r="E47" i="1"/>
  <c r="E44" i="1"/>
  <c r="I24" i="1"/>
  <c r="I25" i="1" s="1"/>
  <c r="I30" i="1"/>
  <c r="M3" i="1"/>
  <c r="L6" i="1"/>
  <c r="L7" i="1" s="1"/>
  <c r="L4" i="1"/>
  <c r="M11" i="1"/>
  <c r="G15" i="1"/>
  <c r="I7" i="7"/>
  <c r="F55" i="7"/>
  <c r="J4" i="7"/>
  <c r="J6" i="7"/>
  <c r="K3" i="7"/>
  <c r="F34" i="7" l="1"/>
  <c r="F37" i="7"/>
  <c r="G29" i="7"/>
  <c r="G30" i="7" s="1"/>
  <c r="H26" i="7"/>
  <c r="H28" i="7" s="1"/>
  <c r="G15" i="7"/>
  <c r="G18" i="7"/>
  <c r="J52" i="7"/>
  <c r="I42" i="7"/>
  <c r="I45" i="7" s="1"/>
  <c r="I47" i="7" s="1"/>
  <c r="I44" i="7"/>
  <c r="J41" i="7"/>
  <c r="H10" i="7"/>
  <c r="H11" i="7" s="1"/>
  <c r="L14" i="7"/>
  <c r="L3" i="7"/>
  <c r="I17" i="7"/>
  <c r="I9" i="7"/>
  <c r="H48" i="7"/>
  <c r="H49" i="7" s="1"/>
  <c r="H53" i="7" s="1"/>
  <c r="I25" i="7"/>
  <c r="I23" i="7"/>
  <c r="J22" i="7"/>
  <c r="J33" i="7"/>
  <c r="I28" i="1"/>
  <c r="I31" i="1"/>
  <c r="J46" i="1"/>
  <c r="L8" i="1"/>
  <c r="L9" i="1" s="1"/>
  <c r="L12" i="1" s="1"/>
  <c r="J30" i="1"/>
  <c r="J24" i="1"/>
  <c r="J25" i="1" s="1"/>
  <c r="M4" i="1"/>
  <c r="M7" i="1" s="1"/>
  <c r="M6" i="1"/>
  <c r="L27" i="1"/>
  <c r="K20" i="1"/>
  <c r="K23" i="1" s="1"/>
  <c r="L19" i="1"/>
  <c r="K22" i="1"/>
  <c r="L35" i="1"/>
  <c r="K36" i="1"/>
  <c r="K39" i="1" s="1"/>
  <c r="L43" i="1"/>
  <c r="K38" i="1"/>
  <c r="H40" i="1"/>
  <c r="H41" i="1" s="1"/>
  <c r="G40" i="1"/>
  <c r="G41" i="1" s="1"/>
  <c r="I14" i="1"/>
  <c r="H14" i="1"/>
  <c r="J7" i="7"/>
  <c r="H15" i="1"/>
  <c r="G55" i="7"/>
  <c r="F56" i="7"/>
  <c r="K6" i="7"/>
  <c r="K4" i="7"/>
  <c r="H29" i="7" l="1"/>
  <c r="H30" i="7" s="1"/>
  <c r="G37" i="7"/>
  <c r="G34" i="7"/>
  <c r="I26" i="7"/>
  <c r="I28" i="7" s="1"/>
  <c r="H36" i="7"/>
  <c r="I49" i="7"/>
  <c r="I53" i="7" s="1"/>
  <c r="I48" i="7"/>
  <c r="I36" i="7"/>
  <c r="H18" i="7"/>
  <c r="H15" i="7"/>
  <c r="J42" i="7"/>
  <c r="J44" i="7"/>
  <c r="J45" i="7" s="1"/>
  <c r="J47" i="7" s="1"/>
  <c r="K41" i="7"/>
  <c r="K52" i="7"/>
  <c r="K22" i="7"/>
  <c r="K33" i="7"/>
  <c r="J23" i="7"/>
  <c r="J25" i="7"/>
  <c r="M14" i="7"/>
  <c r="M3" i="7"/>
  <c r="J17" i="7"/>
  <c r="J9" i="7"/>
  <c r="I10" i="7"/>
  <c r="I11" i="7" s="1"/>
  <c r="M8" i="1"/>
  <c r="M9" i="1" s="1"/>
  <c r="M12" i="1" s="1"/>
  <c r="K46" i="1"/>
  <c r="K30" i="1"/>
  <c r="K24" i="1"/>
  <c r="K25" i="1"/>
  <c r="J28" i="1"/>
  <c r="J31" i="1"/>
  <c r="G44" i="1"/>
  <c r="G47" i="1"/>
  <c r="H47" i="1"/>
  <c r="H44" i="1"/>
  <c r="M27" i="1"/>
  <c r="L20" i="1"/>
  <c r="L23" i="1" s="1"/>
  <c r="M19" i="1"/>
  <c r="L22" i="1"/>
  <c r="L39" i="1"/>
  <c r="M43" i="1"/>
  <c r="L38" i="1"/>
  <c r="L36" i="1"/>
  <c r="M35" i="1"/>
  <c r="L4" i="7"/>
  <c r="L6" i="7"/>
  <c r="K7" i="7"/>
  <c r="J14" i="1"/>
  <c r="G56" i="7"/>
  <c r="H55" i="7"/>
  <c r="H37" i="7" l="1"/>
  <c r="H34" i="7"/>
  <c r="I29" i="7"/>
  <c r="I30" i="7" s="1"/>
  <c r="J26" i="7"/>
  <c r="J36" i="7" s="1"/>
  <c r="K44" i="7"/>
  <c r="L41" i="7"/>
  <c r="L52" i="7"/>
  <c r="K42" i="7"/>
  <c r="K45" i="7" s="1"/>
  <c r="K47" i="7" s="1"/>
  <c r="K17" i="7"/>
  <c r="K9" i="7"/>
  <c r="I15" i="7"/>
  <c r="I18" i="7"/>
  <c r="L22" i="7"/>
  <c r="L33" i="7"/>
  <c r="K25" i="7"/>
  <c r="K23" i="7"/>
  <c r="K26" i="7" s="1"/>
  <c r="J48" i="7"/>
  <c r="J49" i="7" s="1"/>
  <c r="J53" i="7" s="1"/>
  <c r="J10" i="7"/>
  <c r="J11" i="7" s="1"/>
  <c r="L24" i="1"/>
  <c r="L25" i="1" s="1"/>
  <c r="L30" i="1"/>
  <c r="M38" i="1"/>
  <c r="M39" i="1" s="1"/>
  <c r="M36" i="1"/>
  <c r="M22" i="1"/>
  <c r="M20" i="1"/>
  <c r="M23" i="1"/>
  <c r="L46" i="1"/>
  <c r="K31" i="1"/>
  <c r="K28" i="1"/>
  <c r="L7" i="7"/>
  <c r="I15" i="1"/>
  <c r="J15" i="1"/>
  <c r="J40" i="1"/>
  <c r="J41" i="1" s="1"/>
  <c r="I40" i="1"/>
  <c r="I41" i="1" s="1"/>
  <c r="I55" i="7"/>
  <c r="H56" i="7"/>
  <c r="M4" i="7"/>
  <c r="M6" i="7"/>
  <c r="I34" i="7" l="1"/>
  <c r="I37" i="7"/>
  <c r="J28" i="7"/>
  <c r="K48" i="7"/>
  <c r="K49" i="7" s="1"/>
  <c r="K53" i="7" s="1"/>
  <c r="K36" i="7"/>
  <c r="K28" i="7"/>
  <c r="K29" i="7" s="1"/>
  <c r="K10" i="7"/>
  <c r="K11" i="7" s="1"/>
  <c r="J15" i="7"/>
  <c r="J18" i="7"/>
  <c r="M33" i="7"/>
  <c r="L25" i="7"/>
  <c r="L23" i="7"/>
  <c r="M22" i="7"/>
  <c r="L44" i="7"/>
  <c r="M41" i="7"/>
  <c r="M52" i="7"/>
  <c r="L42" i="7"/>
  <c r="L9" i="7"/>
  <c r="L17" i="7"/>
  <c r="M46" i="1"/>
  <c r="L31" i="1"/>
  <c r="L28" i="1"/>
  <c r="I47" i="1"/>
  <c r="I44" i="1"/>
  <c r="J44" i="1"/>
  <c r="J47" i="1"/>
  <c r="M24" i="1"/>
  <c r="M25" i="1" s="1"/>
  <c r="M30" i="1"/>
  <c r="K14" i="1"/>
  <c r="I56" i="7"/>
  <c r="M7" i="7"/>
  <c r="K40" i="1"/>
  <c r="K41" i="1" s="1"/>
  <c r="J55" i="7"/>
  <c r="K15" i="1"/>
  <c r="K30" i="7"/>
  <c r="L45" i="7" l="1"/>
  <c r="L47" i="7" s="1"/>
  <c r="L26" i="7"/>
  <c r="L36" i="7" s="1"/>
  <c r="J29" i="7"/>
  <c r="J30" i="7" s="1"/>
  <c r="L28" i="7"/>
  <c r="L10" i="7"/>
  <c r="L11" i="7" s="1"/>
  <c r="M42" i="7"/>
  <c r="M44" i="7"/>
  <c r="K18" i="7"/>
  <c r="K15" i="7"/>
  <c r="L48" i="7"/>
  <c r="L49" i="7" s="1"/>
  <c r="L53" i="7" s="1"/>
  <c r="M25" i="7"/>
  <c r="M23" i="7"/>
  <c r="K37" i="7"/>
  <c r="K34" i="7"/>
  <c r="M17" i="7"/>
  <c r="M9" i="7"/>
  <c r="M28" i="1"/>
  <c r="M31" i="1"/>
  <c r="K44" i="1"/>
  <c r="K47" i="1"/>
  <c r="L14" i="1"/>
  <c r="M14" i="1"/>
  <c r="L15" i="1"/>
  <c r="K55" i="7"/>
  <c r="J56" i="7"/>
  <c r="J34" i="7" l="1"/>
  <c r="J37" i="7"/>
  <c r="M45" i="7"/>
  <c r="M47" i="7" s="1"/>
  <c r="M26" i="7"/>
  <c r="M28" i="7" s="1"/>
  <c r="L29" i="7"/>
  <c r="L30" i="7" s="1"/>
  <c r="L18" i="7"/>
  <c r="L15" i="7"/>
  <c r="M10" i="7"/>
  <c r="M11" i="7" s="1"/>
  <c r="L55" i="7"/>
  <c r="L56" i="7"/>
  <c r="L40" i="1"/>
  <c r="L41" i="1" s="1"/>
  <c r="M15" i="1"/>
  <c r="M40" i="1"/>
  <c r="M41" i="1" s="1"/>
  <c r="K56" i="7"/>
  <c r="M55" i="7" l="1"/>
  <c r="M36" i="7"/>
  <c r="M15" i="7"/>
  <c r="M18" i="7"/>
  <c r="L37" i="7"/>
  <c r="L34" i="7"/>
  <c r="M48" i="7"/>
  <c r="M49" i="7" s="1"/>
  <c r="M29" i="7"/>
  <c r="M30" i="7" s="1"/>
  <c r="M47" i="1"/>
  <c r="M44" i="1"/>
  <c r="L47" i="1"/>
  <c r="L44" i="1"/>
  <c r="M56" i="7" l="1"/>
  <c r="M53" i="7"/>
  <c r="M34" i="7"/>
  <c r="M37" i="7"/>
  <c r="E5" i="2"/>
  <c r="E4" i="2"/>
  <c r="E6" i="2" s="1"/>
  <c r="F4" i="2" l="1"/>
  <c r="F5" i="2"/>
  <c r="F6" i="2"/>
  <c r="G4" i="2" l="1"/>
  <c r="G3" i="2"/>
  <c r="M8" i="2" s="1"/>
  <c r="M9" i="2" s="1"/>
  <c r="G5" i="2"/>
  <c r="G6" i="2"/>
  <c r="R23" i="2" l="1"/>
  <c r="S23" i="2" s="1"/>
  <c r="T22" i="2" s="1"/>
  <c r="C19" i="2"/>
  <c r="G62" i="7"/>
  <c r="K62" i="7" s="1"/>
  <c r="C29" i="2" l="1"/>
  <c r="H19" i="2" s="1"/>
  <c r="F19" i="2"/>
  <c r="D19" i="2"/>
  <c r="L19" i="2" l="1"/>
  <c r="D29" i="2"/>
  <c r="N18" i="2"/>
  <c r="H18" i="2"/>
  <c r="G19" i="2"/>
  <c r="I19" i="2" s="1"/>
  <c r="F20" i="2" s="1"/>
  <c r="G20" i="2" s="1"/>
  <c r="H20" i="2"/>
  <c r="H23" i="2"/>
  <c r="H41" i="2"/>
  <c r="H28" i="2"/>
  <c r="H47" i="2"/>
  <c r="H40" i="2"/>
  <c r="H74" i="2"/>
  <c r="H49" i="2"/>
  <c r="H60" i="2"/>
  <c r="H48" i="2"/>
  <c r="H55" i="2"/>
  <c r="H59" i="2"/>
  <c r="H61" i="2"/>
  <c r="H54" i="2"/>
  <c r="H32" i="2"/>
  <c r="H57" i="2"/>
  <c r="H66" i="2"/>
  <c r="H80" i="2"/>
  <c r="H84" i="2"/>
  <c r="H88" i="2"/>
  <c r="H24" i="2"/>
  <c r="H52" i="2"/>
  <c r="H65" i="2"/>
  <c r="H53" i="2"/>
  <c r="H70" i="2"/>
  <c r="H76" i="2"/>
  <c r="H30" i="2"/>
  <c r="H33" i="2"/>
  <c r="H36" i="2"/>
  <c r="H43" i="2"/>
  <c r="H46" i="2"/>
  <c r="H35" i="2"/>
  <c r="H39" i="2"/>
  <c r="H51" i="2"/>
  <c r="H22" i="2"/>
  <c r="H56" i="2"/>
  <c r="H62" i="2"/>
  <c r="H73" i="2"/>
  <c r="H21" i="2"/>
  <c r="H64" i="2"/>
  <c r="H67" i="2"/>
  <c r="H71" i="2"/>
  <c r="H77" i="2"/>
  <c r="H90" i="2"/>
  <c r="H44" i="2"/>
  <c r="H26" i="2"/>
  <c r="H45" i="2"/>
  <c r="H89" i="2"/>
  <c r="H93" i="2"/>
  <c r="H101" i="2"/>
  <c r="H106" i="2"/>
  <c r="H112" i="2"/>
  <c r="H125" i="2"/>
  <c r="H130" i="2"/>
  <c r="H42" i="2"/>
  <c r="H69" i="2"/>
  <c r="H95" i="2"/>
  <c r="H96" i="2"/>
  <c r="H100" i="2"/>
  <c r="H110" i="2"/>
  <c r="H63" i="2"/>
  <c r="H98" i="2"/>
  <c r="H109" i="2"/>
  <c r="H122" i="2"/>
  <c r="H139" i="2"/>
  <c r="H29" i="2"/>
  <c r="H34" i="2"/>
  <c r="H87" i="2"/>
  <c r="H104" i="2"/>
  <c r="H108" i="2"/>
  <c r="H128" i="2"/>
  <c r="H133" i="2"/>
  <c r="H82" i="2"/>
  <c r="H25" i="2"/>
  <c r="H38" i="2"/>
  <c r="H58" i="2"/>
  <c r="H72" i="2"/>
  <c r="H79" i="2"/>
  <c r="H86" i="2"/>
  <c r="H94" i="2"/>
  <c r="H134" i="2"/>
  <c r="H37" i="2"/>
  <c r="H50" i="2"/>
  <c r="H75" i="2"/>
  <c r="H116" i="2"/>
  <c r="H120" i="2"/>
  <c r="H27" i="2"/>
  <c r="H68" i="2"/>
  <c r="H103" i="2"/>
  <c r="H132" i="2"/>
  <c r="H31" i="2"/>
  <c r="H78" i="2"/>
  <c r="H81" i="2"/>
  <c r="H83" i="2"/>
  <c r="H92" i="2"/>
  <c r="H113" i="2"/>
  <c r="H118" i="2"/>
  <c r="H131" i="2"/>
  <c r="H105" i="2"/>
  <c r="H129" i="2"/>
  <c r="H107" i="2"/>
  <c r="H117" i="2"/>
  <c r="H123" i="2"/>
  <c r="H91" i="2"/>
  <c r="H135" i="2"/>
  <c r="H114" i="2"/>
  <c r="H138" i="2"/>
  <c r="H102" i="2"/>
  <c r="H99" i="2"/>
  <c r="H127" i="2"/>
  <c r="H121" i="2"/>
  <c r="H124" i="2"/>
  <c r="H137" i="2"/>
  <c r="H85" i="2"/>
  <c r="H119" i="2"/>
  <c r="H136" i="2"/>
  <c r="H111" i="2"/>
  <c r="H126" i="2"/>
  <c r="H97" i="2"/>
  <c r="H115" i="2"/>
  <c r="C30" i="2" l="1"/>
  <c r="N19" i="2"/>
  <c r="N20" i="2"/>
  <c r="M19" i="2"/>
  <c r="I20" i="2"/>
  <c r="F21" i="2" s="1"/>
  <c r="G21" i="2" s="1"/>
  <c r="N33" i="2"/>
  <c r="N38" i="2"/>
  <c r="N54" i="2"/>
  <c r="N24" i="2"/>
  <c r="N41" i="2"/>
  <c r="N74" i="2"/>
  <c r="N87" i="2"/>
  <c r="N30" i="2"/>
  <c r="N55" i="2"/>
  <c r="N72" i="2"/>
  <c r="N94" i="2"/>
  <c r="N22" i="2"/>
  <c r="N46" i="2"/>
  <c r="N48" i="2"/>
  <c r="N56" i="2"/>
  <c r="N28" i="2"/>
  <c r="N39" i="2"/>
  <c r="N45" i="2"/>
  <c r="N53" i="2"/>
  <c r="N60" i="2"/>
  <c r="N49" i="2"/>
  <c r="N59" i="2"/>
  <c r="N77" i="2"/>
  <c r="N85" i="2"/>
  <c r="N27" i="2"/>
  <c r="N93" i="2"/>
  <c r="N29" i="2"/>
  <c r="N32" i="2"/>
  <c r="N37" i="2"/>
  <c r="N62" i="2"/>
  <c r="N50" i="2"/>
  <c r="N42" i="2"/>
  <c r="N58" i="2"/>
  <c r="N84" i="2"/>
  <c r="N23" i="2"/>
  <c r="N65" i="2"/>
  <c r="N82" i="2"/>
  <c r="N57" i="2"/>
  <c r="N64" i="2"/>
  <c r="N44" i="2"/>
  <c r="N52" i="2"/>
  <c r="N68" i="2"/>
  <c r="N76" i="2"/>
  <c r="N36" i="2"/>
  <c r="N63" i="2"/>
  <c r="N40" i="2"/>
  <c r="N67" i="2"/>
  <c r="N61" i="2"/>
  <c r="N71" i="2"/>
  <c r="N78" i="2"/>
  <c r="N86" i="2"/>
  <c r="N99" i="2"/>
  <c r="N109" i="2"/>
  <c r="N124" i="2"/>
  <c r="N70" i="2"/>
  <c r="N34" i="2"/>
  <c r="N31" i="2"/>
  <c r="N43" i="2"/>
  <c r="N111" i="2"/>
  <c r="N121" i="2"/>
  <c r="N89" i="2"/>
  <c r="N106" i="2"/>
  <c r="N132" i="2"/>
  <c r="N66" i="2"/>
  <c r="N80" i="2"/>
  <c r="N83" i="2"/>
  <c r="N98" i="2"/>
  <c r="N112" i="2"/>
  <c r="N128" i="2"/>
  <c r="N102" i="2"/>
  <c r="N110" i="2"/>
  <c r="N21" i="2"/>
  <c r="D30" i="2" s="1"/>
  <c r="N51" i="2"/>
  <c r="N96" i="2"/>
  <c r="N101" i="2"/>
  <c r="N119" i="2"/>
  <c r="N125" i="2"/>
  <c r="N137" i="2"/>
  <c r="N73" i="2"/>
  <c r="N69" i="2"/>
  <c r="N75" i="2"/>
  <c r="N100" i="2"/>
  <c r="N105" i="2"/>
  <c r="N47" i="2"/>
  <c r="N35" i="2"/>
  <c r="N81" i="2"/>
  <c r="N88" i="2"/>
  <c r="N90" i="2"/>
  <c r="N114" i="2"/>
  <c r="N117" i="2"/>
  <c r="N123" i="2"/>
  <c r="N25" i="2"/>
  <c r="N26" i="2"/>
  <c r="N79" i="2"/>
  <c r="N107" i="2"/>
  <c r="N113" i="2"/>
  <c r="N134" i="2"/>
  <c r="N91" i="2"/>
  <c r="N120" i="2"/>
  <c r="N92" i="2"/>
  <c r="N95" i="2"/>
  <c r="N129" i="2"/>
  <c r="N127" i="2"/>
  <c r="N118" i="2"/>
  <c r="N115" i="2"/>
  <c r="N97" i="2"/>
  <c r="N130" i="2"/>
  <c r="N136" i="2"/>
  <c r="N139" i="2"/>
  <c r="N103" i="2"/>
  <c r="N138" i="2"/>
  <c r="N122" i="2"/>
  <c r="N131" i="2"/>
  <c r="N108" i="2"/>
  <c r="N116" i="2"/>
  <c r="N135" i="2"/>
  <c r="N104" i="2"/>
  <c r="N126" i="2"/>
  <c r="N133" i="2"/>
  <c r="O19" i="2" l="1"/>
  <c r="I21" i="2"/>
  <c r="F22" i="2" s="1"/>
  <c r="G22" i="2" s="1"/>
  <c r="L20" i="2" l="1"/>
  <c r="M20" i="2" s="1"/>
  <c r="I22" i="2"/>
  <c r="F23" i="2" s="1"/>
  <c r="G23" i="2" s="1"/>
  <c r="O20" i="2" l="1"/>
  <c r="I23" i="2"/>
  <c r="F24" i="2" s="1"/>
  <c r="G24" i="2" s="1"/>
  <c r="I24" i="2" l="1"/>
  <c r="F25" i="2" s="1"/>
  <c r="G25" i="2" s="1"/>
  <c r="I25" i="2" l="1"/>
  <c r="F26" i="2" s="1"/>
  <c r="G26" i="2" s="1"/>
  <c r="L21" i="2"/>
  <c r="M21" i="2" s="1"/>
  <c r="I26" i="2" l="1"/>
  <c r="F27" i="2" s="1"/>
  <c r="G27" i="2" s="1"/>
  <c r="I27" i="2" l="1"/>
  <c r="F28" i="2" s="1"/>
  <c r="G28" i="2" s="1"/>
  <c r="O21" i="2"/>
  <c r="I28" i="2" l="1"/>
  <c r="F29" i="2" s="1"/>
  <c r="G29" i="2" s="1"/>
  <c r="L22" i="2"/>
  <c r="M22" i="2" s="1"/>
  <c r="I29" i="2" l="1"/>
  <c r="F30" i="2" s="1"/>
  <c r="G30" i="2" s="1"/>
  <c r="I30" i="2" l="1"/>
  <c r="F31" i="2" s="1"/>
  <c r="G31" i="2" s="1"/>
  <c r="O22" i="2"/>
  <c r="I31" i="2" l="1"/>
  <c r="F32" i="2" s="1"/>
  <c r="G32" i="2" s="1"/>
  <c r="L23" i="2"/>
  <c r="M23" i="2" s="1"/>
  <c r="I32" i="2" l="1"/>
  <c r="F33" i="2" s="1"/>
  <c r="G33" i="2" s="1"/>
  <c r="O23" i="2"/>
  <c r="L24" i="2" s="1"/>
  <c r="M24" i="2" s="1"/>
  <c r="I33" i="2" l="1"/>
  <c r="F34" i="2" s="1"/>
  <c r="G34" i="2" s="1"/>
  <c r="O24" i="2"/>
  <c r="L25" i="2" s="1"/>
  <c r="M25" i="2" s="1"/>
  <c r="I34" i="2" l="1"/>
  <c r="F35" i="2" s="1"/>
  <c r="G35" i="2" s="1"/>
  <c r="O25" i="2"/>
  <c r="L26" i="2" s="1"/>
  <c r="M26" i="2" s="1"/>
  <c r="I35" i="2" l="1"/>
  <c r="F36" i="2" s="1"/>
  <c r="G36" i="2" s="1"/>
  <c r="O26" i="2"/>
  <c r="L27" i="2" s="1"/>
  <c r="M27" i="2" s="1"/>
  <c r="I36" i="2" l="1"/>
  <c r="F37" i="2" s="1"/>
  <c r="G37" i="2" s="1"/>
  <c r="O27" i="2"/>
  <c r="L28" i="2" s="1"/>
  <c r="M28" i="2" s="1"/>
  <c r="I37" i="2" l="1"/>
  <c r="F38" i="2" s="1"/>
  <c r="G38" i="2" s="1"/>
  <c r="O28" i="2"/>
  <c r="L29" i="2" s="1"/>
  <c r="M29" i="2" s="1"/>
  <c r="I38" i="2" l="1"/>
  <c r="F39" i="2" s="1"/>
  <c r="G39" i="2" s="1"/>
  <c r="O29" i="2"/>
  <c r="L30" i="2" s="1"/>
  <c r="M30" i="2" s="1"/>
  <c r="I39" i="2" l="1"/>
  <c r="F40" i="2" s="1"/>
  <c r="G40" i="2" s="1"/>
  <c r="I40" i="2" l="1"/>
  <c r="F41" i="2" s="1"/>
  <c r="G41" i="2" s="1"/>
  <c r="O30" i="2"/>
  <c r="I41" i="2" l="1"/>
  <c r="F42" i="2" s="1"/>
  <c r="G42" i="2" s="1"/>
  <c r="L31" i="2"/>
  <c r="M31" i="2" s="1"/>
  <c r="I42" i="2" l="1"/>
  <c r="F43" i="2" s="1"/>
  <c r="G43" i="2" s="1"/>
  <c r="I43" i="2" l="1"/>
  <c r="F44" i="2" s="1"/>
  <c r="G44" i="2" s="1"/>
  <c r="O31" i="2"/>
  <c r="I44" i="2" l="1"/>
  <c r="F45" i="2" s="1"/>
  <c r="G45" i="2" s="1"/>
  <c r="L32" i="2"/>
  <c r="M32" i="2" s="1"/>
  <c r="I45" i="2" l="1"/>
  <c r="F46" i="2" s="1"/>
  <c r="G46" i="2" s="1"/>
  <c r="I46" i="2" l="1"/>
  <c r="F47" i="2" s="1"/>
  <c r="G47" i="2" s="1"/>
  <c r="O32" i="2"/>
  <c r="I47" i="2" l="1"/>
  <c r="F48" i="2" s="1"/>
  <c r="G48" i="2" s="1"/>
  <c r="L33" i="2"/>
  <c r="M33" i="2" s="1"/>
  <c r="I48" i="2" l="1"/>
  <c r="F49" i="2" s="1"/>
  <c r="G49" i="2" s="1"/>
  <c r="I49" i="2" l="1"/>
  <c r="F50" i="2" s="1"/>
  <c r="G50" i="2" s="1"/>
  <c r="O33" i="2"/>
  <c r="L34" i="2" l="1"/>
  <c r="M34" i="2" s="1"/>
  <c r="I50" i="2"/>
  <c r="F51" i="2" s="1"/>
  <c r="G51" i="2" s="1"/>
  <c r="I51" i="2" l="1"/>
  <c r="F52" i="2" s="1"/>
  <c r="G52" i="2" s="1"/>
  <c r="O34" i="2" l="1"/>
  <c r="I52" i="2"/>
  <c r="F53" i="2" s="1"/>
  <c r="G53" i="2" s="1"/>
  <c r="I53" i="2" l="1"/>
  <c r="F54" i="2" s="1"/>
  <c r="G54" i="2" s="1"/>
  <c r="L35" i="2"/>
  <c r="M35" i="2" s="1"/>
  <c r="I54" i="2" l="1"/>
  <c r="F55" i="2" s="1"/>
  <c r="G55" i="2" s="1"/>
  <c r="I55" i="2" l="1"/>
  <c r="F56" i="2" s="1"/>
  <c r="G56" i="2" s="1"/>
  <c r="O35" i="2"/>
  <c r="L36" i="2" l="1"/>
  <c r="M36" i="2" s="1"/>
  <c r="I56" i="2"/>
  <c r="F57" i="2" s="1"/>
  <c r="G57" i="2" s="1"/>
  <c r="I57" i="2" l="1"/>
  <c r="F58" i="2" s="1"/>
  <c r="G58" i="2" s="1"/>
  <c r="O36" i="2"/>
  <c r="L37" i="2" s="1"/>
  <c r="M37" i="2" s="1"/>
  <c r="O37" i="2" l="1"/>
  <c r="L38" i="2" s="1"/>
  <c r="M38" i="2" s="1"/>
  <c r="I58" i="2"/>
  <c r="F59" i="2" s="1"/>
  <c r="G59" i="2" s="1"/>
  <c r="I59" i="2" l="1"/>
  <c r="F60" i="2" s="1"/>
  <c r="G60" i="2" s="1"/>
  <c r="O38" i="2"/>
  <c r="L39" i="2" s="1"/>
  <c r="M39" i="2" s="1"/>
  <c r="O39" i="2" l="1"/>
  <c r="L40" i="2" s="1"/>
  <c r="M40" i="2" s="1"/>
  <c r="I60" i="2"/>
  <c r="F61" i="2" s="1"/>
  <c r="G61" i="2" s="1"/>
  <c r="I61" i="2" l="1"/>
  <c r="F62" i="2" s="1"/>
  <c r="G62" i="2" s="1"/>
  <c r="O40" i="2"/>
  <c r="L41" i="2" s="1"/>
  <c r="M41" i="2" s="1"/>
  <c r="O41" i="2" l="1"/>
  <c r="L42" i="2" s="1"/>
  <c r="M42" i="2" s="1"/>
  <c r="I62" i="2"/>
  <c r="F63" i="2" s="1"/>
  <c r="G63" i="2" s="1"/>
  <c r="I63" i="2" l="1"/>
  <c r="F64" i="2" s="1"/>
  <c r="G64" i="2" s="1"/>
  <c r="O42" i="2" l="1"/>
  <c r="I64" i="2"/>
  <c r="F65" i="2" s="1"/>
  <c r="G65" i="2" s="1"/>
  <c r="I65" i="2" l="1"/>
  <c r="F66" i="2" s="1"/>
  <c r="G66" i="2" s="1"/>
  <c r="L43" i="2"/>
  <c r="M43" i="2" s="1"/>
  <c r="I66" i="2" l="1"/>
  <c r="F67" i="2" s="1"/>
  <c r="G67" i="2" s="1"/>
  <c r="I67" i="2" l="1"/>
  <c r="F68" i="2" s="1"/>
  <c r="G68" i="2" s="1"/>
  <c r="O43" i="2"/>
  <c r="L44" i="2" l="1"/>
  <c r="M44" i="2" s="1"/>
  <c r="I68" i="2"/>
  <c r="F69" i="2" s="1"/>
  <c r="G69" i="2" s="1"/>
  <c r="I69" i="2" l="1"/>
  <c r="F70" i="2" s="1"/>
  <c r="G70" i="2" s="1"/>
  <c r="O44" i="2" l="1"/>
  <c r="I70" i="2"/>
  <c r="F71" i="2" s="1"/>
  <c r="G71" i="2" s="1"/>
  <c r="I71" i="2" l="1"/>
  <c r="F72" i="2" s="1"/>
  <c r="G72" i="2" s="1"/>
  <c r="L45" i="2"/>
  <c r="M45" i="2" s="1"/>
  <c r="I72" i="2" l="1"/>
  <c r="F73" i="2" s="1"/>
  <c r="G73" i="2" s="1"/>
  <c r="I73" i="2" l="1"/>
  <c r="F74" i="2" s="1"/>
  <c r="G74" i="2" s="1"/>
  <c r="O45" i="2"/>
  <c r="L46" i="2" l="1"/>
  <c r="M46" i="2" s="1"/>
  <c r="I74" i="2"/>
  <c r="F75" i="2" s="1"/>
  <c r="G75" i="2" s="1"/>
  <c r="I75" i="2" l="1"/>
  <c r="F76" i="2" s="1"/>
  <c r="G76" i="2" s="1"/>
  <c r="O46" i="2" l="1"/>
  <c r="I76" i="2"/>
  <c r="F77" i="2" s="1"/>
  <c r="G77" i="2" s="1"/>
  <c r="I77" i="2" l="1"/>
  <c r="F78" i="2" s="1"/>
  <c r="G78" i="2" s="1"/>
  <c r="L47" i="2"/>
  <c r="M47" i="2" s="1"/>
  <c r="I78" i="2" l="1"/>
  <c r="F79" i="2" s="1"/>
  <c r="G79" i="2" s="1"/>
  <c r="I79" i="2" l="1"/>
  <c r="F80" i="2" s="1"/>
  <c r="G80" i="2" s="1"/>
  <c r="O47" i="2"/>
  <c r="I80" i="2" l="1"/>
  <c r="F81" i="2" s="1"/>
  <c r="G81" i="2" s="1"/>
  <c r="L48" i="2"/>
  <c r="M48" i="2" s="1"/>
  <c r="O48" i="2" l="1"/>
  <c r="L49" i="2" s="1"/>
  <c r="M49" i="2" s="1"/>
  <c r="I81" i="2"/>
  <c r="F82" i="2" s="1"/>
  <c r="G82" i="2" s="1"/>
  <c r="I82" i="2" l="1"/>
  <c r="F83" i="2" s="1"/>
  <c r="G83" i="2" s="1"/>
  <c r="O49" i="2"/>
  <c r="L50" i="2" s="1"/>
  <c r="M50" i="2" s="1"/>
  <c r="I83" i="2" l="1"/>
  <c r="F84" i="2" s="1"/>
  <c r="G84" i="2" s="1"/>
  <c r="O50" i="2"/>
  <c r="L51" i="2" s="1"/>
  <c r="M51" i="2" s="1"/>
  <c r="I84" i="2" l="1"/>
  <c r="F85" i="2" s="1"/>
  <c r="G85" i="2" s="1"/>
  <c r="O51" i="2"/>
  <c r="L52" i="2" s="1"/>
  <c r="M52" i="2" s="1"/>
  <c r="I85" i="2" l="1"/>
  <c r="F86" i="2" s="1"/>
  <c r="G86" i="2" s="1"/>
  <c r="O52" i="2"/>
  <c r="L53" i="2" s="1"/>
  <c r="M53" i="2" s="1"/>
  <c r="I86" i="2" l="1"/>
  <c r="F87" i="2" s="1"/>
  <c r="G87" i="2" s="1"/>
  <c r="O53" i="2"/>
  <c r="L54" i="2" s="1"/>
  <c r="M54" i="2" s="1"/>
  <c r="I87" i="2" l="1"/>
  <c r="F88" i="2" s="1"/>
  <c r="G88" i="2" s="1"/>
  <c r="I88" i="2" l="1"/>
  <c r="F89" i="2" s="1"/>
  <c r="G89" i="2" s="1"/>
  <c r="O54" i="2"/>
  <c r="I89" i="2" l="1"/>
  <c r="F90" i="2" s="1"/>
  <c r="G90" i="2" s="1"/>
  <c r="L55" i="2"/>
  <c r="M55" i="2" s="1"/>
  <c r="I90" i="2" l="1"/>
  <c r="F91" i="2" s="1"/>
  <c r="G91" i="2" s="1"/>
  <c r="I91" i="2" l="1"/>
  <c r="F92" i="2" s="1"/>
  <c r="G92" i="2" s="1"/>
  <c r="O55" i="2"/>
  <c r="I92" i="2" l="1"/>
  <c r="F93" i="2" s="1"/>
  <c r="G93" i="2" s="1"/>
  <c r="L56" i="2"/>
  <c r="M56" i="2" s="1"/>
  <c r="I93" i="2" l="1"/>
  <c r="F94" i="2" s="1"/>
  <c r="G94" i="2" s="1"/>
  <c r="I94" i="2" l="1"/>
  <c r="F95" i="2" s="1"/>
  <c r="G95" i="2" s="1"/>
  <c r="O56" i="2"/>
  <c r="I95" i="2" l="1"/>
  <c r="F96" i="2" s="1"/>
  <c r="G96" i="2" s="1"/>
  <c r="L57" i="2"/>
  <c r="M57" i="2" s="1"/>
  <c r="I96" i="2" l="1"/>
  <c r="F97" i="2" s="1"/>
  <c r="G97" i="2" s="1"/>
  <c r="I97" i="2" l="1"/>
  <c r="F98" i="2" s="1"/>
  <c r="G98" i="2" s="1"/>
  <c r="O57" i="2"/>
  <c r="L58" i="2" l="1"/>
  <c r="M58" i="2" s="1"/>
  <c r="I98" i="2"/>
  <c r="F99" i="2" s="1"/>
  <c r="G99" i="2" s="1"/>
  <c r="I99" i="2" l="1"/>
  <c r="F100" i="2" s="1"/>
  <c r="G100" i="2" s="1"/>
  <c r="O58" i="2" l="1"/>
  <c r="I100" i="2"/>
  <c r="F101" i="2" s="1"/>
  <c r="G101" i="2" s="1"/>
  <c r="I101" i="2" l="1"/>
  <c r="F102" i="2" s="1"/>
  <c r="G102" i="2" s="1"/>
  <c r="L59" i="2"/>
  <c r="M59" i="2" s="1"/>
  <c r="I102" i="2" l="1"/>
  <c r="F103" i="2" s="1"/>
  <c r="G103" i="2" s="1"/>
  <c r="I103" i="2" l="1"/>
  <c r="F104" i="2" s="1"/>
  <c r="G104" i="2" s="1"/>
  <c r="O59" i="2"/>
  <c r="I104" i="2" l="1"/>
  <c r="F105" i="2" s="1"/>
  <c r="G105" i="2" s="1"/>
  <c r="L60" i="2"/>
  <c r="M60" i="2" s="1"/>
  <c r="I105" i="2" l="1"/>
  <c r="F106" i="2" s="1"/>
  <c r="G106" i="2" s="1"/>
  <c r="O60" i="2"/>
  <c r="L61" i="2" s="1"/>
  <c r="M61" i="2" s="1"/>
  <c r="O61" i="2" l="1"/>
  <c r="L62" i="2" s="1"/>
  <c r="M62" i="2" s="1"/>
  <c r="I106" i="2"/>
  <c r="F107" i="2" s="1"/>
  <c r="G107" i="2" s="1"/>
  <c r="I107" i="2" l="1"/>
  <c r="F108" i="2" s="1"/>
  <c r="G108" i="2" s="1"/>
  <c r="O62" i="2"/>
  <c r="L63" i="2" s="1"/>
  <c r="M63" i="2" s="1"/>
  <c r="O63" i="2" l="1"/>
  <c r="L64" i="2" s="1"/>
  <c r="M64" i="2" s="1"/>
  <c r="I108" i="2"/>
  <c r="F109" i="2" s="1"/>
  <c r="G109" i="2" s="1"/>
  <c r="I109" i="2" l="1"/>
  <c r="F110" i="2" s="1"/>
  <c r="G110" i="2" s="1"/>
  <c r="O64" i="2"/>
  <c r="L65" i="2" s="1"/>
  <c r="M65" i="2" s="1"/>
  <c r="O65" i="2" l="1"/>
  <c r="L66" i="2" s="1"/>
  <c r="M66" i="2" s="1"/>
  <c r="I110" i="2"/>
  <c r="F111" i="2" s="1"/>
  <c r="G111" i="2" s="1"/>
  <c r="I111" i="2" l="1"/>
  <c r="F112" i="2" s="1"/>
  <c r="G112" i="2" s="1"/>
  <c r="O66" i="2" l="1"/>
  <c r="I112" i="2"/>
  <c r="F113" i="2" s="1"/>
  <c r="G113" i="2" s="1"/>
  <c r="I113" i="2" l="1"/>
  <c r="F114" i="2" s="1"/>
  <c r="G114" i="2" s="1"/>
  <c r="L67" i="2"/>
  <c r="M67" i="2" s="1"/>
  <c r="I114" i="2" l="1"/>
  <c r="F115" i="2" s="1"/>
  <c r="G115" i="2" s="1"/>
  <c r="I115" i="2" l="1"/>
  <c r="F116" i="2" s="1"/>
  <c r="G116" i="2" s="1"/>
  <c r="O67" i="2"/>
  <c r="I116" i="2" l="1"/>
  <c r="F117" i="2" s="1"/>
  <c r="G117" i="2" s="1"/>
  <c r="L68" i="2"/>
  <c r="M68" i="2" s="1"/>
  <c r="I117" i="2" l="1"/>
  <c r="F118" i="2" s="1"/>
  <c r="G118" i="2" s="1"/>
  <c r="O68" i="2" l="1"/>
  <c r="I118" i="2"/>
  <c r="F119" i="2" s="1"/>
  <c r="G119" i="2" s="1"/>
  <c r="I119" i="2" l="1"/>
  <c r="F120" i="2" s="1"/>
  <c r="G120" i="2" s="1"/>
  <c r="L69" i="2"/>
  <c r="M69" i="2" s="1"/>
  <c r="I120" i="2" l="1"/>
  <c r="F121" i="2" s="1"/>
  <c r="G121" i="2" s="1"/>
  <c r="I121" i="2" l="1"/>
  <c r="F122" i="2" s="1"/>
  <c r="G122" i="2" s="1"/>
  <c r="O69" i="2"/>
  <c r="L70" i="2" l="1"/>
  <c r="M70" i="2" s="1"/>
  <c r="I122" i="2"/>
  <c r="F123" i="2" s="1"/>
  <c r="G123" i="2" s="1"/>
  <c r="I123" i="2" l="1"/>
  <c r="F124" i="2" s="1"/>
  <c r="G124" i="2" s="1"/>
  <c r="I124" i="2" l="1"/>
  <c r="F125" i="2" s="1"/>
  <c r="G125" i="2" s="1"/>
  <c r="O70" i="2"/>
  <c r="L71" i="2" l="1"/>
  <c r="M71" i="2" s="1"/>
  <c r="I125" i="2"/>
  <c r="F126" i="2" s="1"/>
  <c r="G126" i="2" s="1"/>
  <c r="I126" i="2" l="1"/>
  <c r="F127" i="2" s="1"/>
  <c r="G127" i="2" s="1"/>
  <c r="I127" i="2" l="1"/>
  <c r="F128" i="2" s="1"/>
  <c r="G128" i="2" s="1"/>
  <c r="O71" i="2"/>
  <c r="I128" i="2" l="1"/>
  <c r="F129" i="2" s="1"/>
  <c r="G129" i="2" s="1"/>
  <c r="L72" i="2"/>
  <c r="M72" i="2" s="1"/>
  <c r="O72" i="2" l="1"/>
  <c r="L73" i="2" s="1"/>
  <c r="M73" i="2" s="1"/>
  <c r="I129" i="2"/>
  <c r="F130" i="2" s="1"/>
  <c r="G130" i="2" s="1"/>
  <c r="I130" i="2" l="1"/>
  <c r="F131" i="2" s="1"/>
  <c r="G131" i="2" s="1"/>
  <c r="O73" i="2"/>
  <c r="L74" i="2" s="1"/>
  <c r="M74" i="2" s="1"/>
  <c r="O74" i="2" l="1"/>
  <c r="L75" i="2" s="1"/>
  <c r="M75" i="2" s="1"/>
  <c r="I131" i="2"/>
  <c r="F132" i="2" s="1"/>
  <c r="G132" i="2" s="1"/>
  <c r="I132" i="2" l="1"/>
  <c r="F133" i="2" s="1"/>
  <c r="G133" i="2" s="1"/>
  <c r="O75" i="2"/>
  <c r="L76" i="2" s="1"/>
  <c r="M76" i="2" s="1"/>
  <c r="O76" i="2" l="1"/>
  <c r="L77" i="2" s="1"/>
  <c r="M77" i="2" s="1"/>
  <c r="I133" i="2"/>
  <c r="F134" i="2" s="1"/>
  <c r="G134" i="2" s="1"/>
  <c r="I134" i="2" l="1"/>
  <c r="F135" i="2" s="1"/>
  <c r="G135" i="2" s="1"/>
  <c r="I135" i="2" l="1"/>
  <c r="F136" i="2" s="1"/>
  <c r="G136" i="2" s="1"/>
  <c r="O77" i="2"/>
  <c r="L78" i="2" l="1"/>
  <c r="M78" i="2" s="1"/>
  <c r="I136" i="2"/>
  <c r="F137" i="2" s="1"/>
  <c r="G137" i="2" s="1"/>
  <c r="I137" i="2" l="1"/>
  <c r="F138" i="2" s="1"/>
  <c r="G138" i="2" s="1"/>
  <c r="O78" i="2"/>
  <c r="L79" i="2" s="1"/>
  <c r="M79" i="2" s="1"/>
  <c r="I138" i="2" l="1"/>
  <c r="F139" i="2" s="1"/>
  <c r="G139" i="2" l="1"/>
  <c r="O79" i="2"/>
  <c r="L80" i="2" l="1"/>
  <c r="M80" i="2" s="1"/>
  <c r="O80" i="2" l="1"/>
  <c r="L81" i="2" l="1"/>
  <c r="M81" i="2" s="1"/>
  <c r="O81" i="2" l="1"/>
  <c r="L82" i="2" l="1"/>
  <c r="M82" i="2" s="1"/>
  <c r="O82" i="2" l="1"/>
  <c r="L83" i="2" l="1"/>
  <c r="M83" i="2" s="1"/>
  <c r="O83" i="2" l="1"/>
  <c r="L84" i="2" l="1"/>
  <c r="M84" i="2" s="1"/>
  <c r="O84" i="2" l="1"/>
  <c r="L85" i="2" s="1"/>
  <c r="M85" i="2" s="1"/>
  <c r="O85" i="2" l="1"/>
  <c r="L86" i="2" s="1"/>
  <c r="M86" i="2" s="1"/>
  <c r="O86" i="2" l="1"/>
  <c r="L87" i="2" s="1"/>
  <c r="M87" i="2" s="1"/>
  <c r="O87" i="2" l="1"/>
  <c r="L88" i="2" s="1"/>
  <c r="M88" i="2" s="1"/>
  <c r="O88" i="2" l="1"/>
  <c r="L89" i="2" s="1"/>
  <c r="M89" i="2" s="1"/>
  <c r="O89" i="2" l="1"/>
  <c r="L90" i="2" s="1"/>
  <c r="M90" i="2" s="1"/>
  <c r="O90" i="2" l="1"/>
  <c r="L91" i="2" l="1"/>
  <c r="M91" i="2" s="1"/>
  <c r="O91" i="2" l="1"/>
  <c r="L92" i="2" l="1"/>
  <c r="M92" i="2" s="1"/>
  <c r="O92" i="2" l="1"/>
  <c r="L93" i="2" l="1"/>
  <c r="M93" i="2" s="1"/>
  <c r="O93" i="2" l="1"/>
  <c r="L94" i="2" l="1"/>
  <c r="M94" i="2" s="1"/>
  <c r="O94" i="2" l="1"/>
  <c r="L95" i="2" l="1"/>
  <c r="M95" i="2" s="1"/>
  <c r="O95" i="2" l="1"/>
  <c r="L96" i="2" l="1"/>
  <c r="M96" i="2" s="1"/>
  <c r="O96" i="2" l="1"/>
  <c r="L97" i="2" s="1"/>
  <c r="M97" i="2" s="1"/>
  <c r="O97" i="2" l="1"/>
  <c r="L98" i="2" s="1"/>
  <c r="M98" i="2" s="1"/>
  <c r="O98" i="2" l="1"/>
  <c r="L99" i="2" s="1"/>
  <c r="M99" i="2" s="1"/>
  <c r="O99" i="2" l="1"/>
  <c r="L100" i="2" s="1"/>
  <c r="M100" i="2" s="1"/>
  <c r="O100" i="2" l="1"/>
  <c r="L101" i="2" s="1"/>
  <c r="M101" i="2" s="1"/>
  <c r="O101" i="2" l="1"/>
  <c r="L102" i="2" s="1"/>
  <c r="M102" i="2" s="1"/>
  <c r="O102" i="2" l="1"/>
  <c r="L103" i="2" l="1"/>
  <c r="M103" i="2" s="1"/>
  <c r="O103" i="2" l="1"/>
  <c r="L104" i="2" l="1"/>
  <c r="M104" i="2" s="1"/>
  <c r="O104" i="2" l="1"/>
  <c r="L105" i="2" l="1"/>
  <c r="M105" i="2" s="1"/>
  <c r="O105" i="2" l="1"/>
  <c r="L106" i="2" l="1"/>
  <c r="M106" i="2" s="1"/>
  <c r="O106" i="2" l="1"/>
  <c r="L107" i="2" l="1"/>
  <c r="M107" i="2" s="1"/>
  <c r="O107" i="2" l="1"/>
  <c r="L108" i="2" l="1"/>
  <c r="M108" i="2" s="1"/>
  <c r="O108" i="2" l="1"/>
  <c r="L109" i="2" s="1"/>
  <c r="M109" i="2" s="1"/>
  <c r="O109" i="2" l="1"/>
  <c r="L110" i="2"/>
  <c r="M110" i="2" s="1"/>
  <c r="O110" i="2" l="1"/>
  <c r="L111" i="2" s="1"/>
  <c r="M111" i="2" s="1"/>
  <c r="O111" i="2" l="1"/>
  <c r="L112" i="2" s="1"/>
  <c r="M112" i="2" s="1"/>
  <c r="O112" i="2" l="1"/>
  <c r="L113" i="2" s="1"/>
  <c r="M113" i="2" s="1"/>
  <c r="O113" i="2" l="1"/>
  <c r="L114" i="2" s="1"/>
  <c r="M114" i="2" s="1"/>
  <c r="O114" i="2" l="1"/>
  <c r="L115" i="2" l="1"/>
  <c r="M115" i="2" s="1"/>
  <c r="O115" i="2" l="1"/>
  <c r="L116" i="2" l="1"/>
  <c r="M116" i="2" s="1"/>
  <c r="O116" i="2" l="1"/>
  <c r="L117" i="2" l="1"/>
  <c r="M117" i="2" s="1"/>
  <c r="O117" i="2" l="1"/>
  <c r="L118" i="2" l="1"/>
  <c r="M118" i="2" s="1"/>
  <c r="O118" i="2" l="1"/>
  <c r="L119" i="2" l="1"/>
  <c r="M119" i="2" s="1"/>
  <c r="O119" i="2" l="1"/>
  <c r="L120" i="2" l="1"/>
  <c r="M120" i="2" s="1"/>
  <c r="O120" i="2" l="1"/>
  <c r="L121" i="2" s="1"/>
  <c r="M121" i="2" s="1"/>
  <c r="O121" i="2" l="1"/>
  <c r="L122" i="2" s="1"/>
  <c r="M122" i="2" s="1"/>
  <c r="O122" i="2" l="1"/>
  <c r="L123" i="2" s="1"/>
  <c r="M123" i="2" s="1"/>
  <c r="O123" i="2" l="1"/>
  <c r="L124" i="2" s="1"/>
  <c r="M124" i="2" s="1"/>
  <c r="O124" i="2" l="1"/>
  <c r="L125" i="2" s="1"/>
  <c r="M125" i="2" s="1"/>
  <c r="O125" i="2" l="1"/>
  <c r="L126" i="2" s="1"/>
  <c r="M126" i="2" s="1"/>
  <c r="O126" i="2" l="1"/>
  <c r="L127" i="2" l="1"/>
  <c r="M127" i="2" s="1"/>
  <c r="O127" i="2" l="1"/>
  <c r="L128" i="2" l="1"/>
  <c r="M128" i="2" s="1"/>
  <c r="O128" i="2" l="1"/>
  <c r="L129" i="2" l="1"/>
  <c r="M129" i="2" s="1"/>
  <c r="O129" i="2" l="1"/>
  <c r="L130" i="2" l="1"/>
  <c r="M130" i="2" s="1"/>
  <c r="O130" i="2" l="1"/>
  <c r="L131" i="2" l="1"/>
  <c r="M131" i="2" s="1"/>
  <c r="O131" i="2" l="1"/>
  <c r="L132" i="2" l="1"/>
  <c r="M132" i="2" s="1"/>
  <c r="O132" i="2" l="1"/>
  <c r="L133" i="2" s="1"/>
  <c r="M133" i="2" s="1"/>
  <c r="O133" i="2" l="1"/>
  <c r="L134" i="2" s="1"/>
  <c r="M134" i="2" s="1"/>
  <c r="O134" i="2" l="1"/>
  <c r="L135" i="2" s="1"/>
  <c r="M135" i="2" s="1"/>
  <c r="O135" i="2" l="1"/>
  <c r="L136" i="2" s="1"/>
  <c r="M136" i="2" s="1"/>
  <c r="O136" i="2" l="1"/>
  <c r="L137" i="2" s="1"/>
  <c r="M137" i="2" s="1"/>
  <c r="O137" i="2" l="1"/>
  <c r="L138" i="2" s="1"/>
  <c r="M138" i="2" s="1"/>
  <c r="O138" i="2" l="1"/>
  <c r="L139" i="2" s="1"/>
  <c r="M139" i="2" s="1"/>
  <c r="O139" i="2" l="1"/>
</calcChain>
</file>

<file path=xl/comments1.xml><?xml version="1.0" encoding="utf-8"?>
<comments xmlns="http://schemas.openxmlformats.org/spreadsheetml/2006/main">
  <authors>
    <author>Panzer20</author>
  </authors>
  <commentList>
    <comment ref="C30" authorId="0">
      <text>
        <r>
          <rPr>
            <b/>
            <sz val="9"/>
            <color indexed="81"/>
            <rFont val="Tahoma"/>
            <family val="2"/>
          </rPr>
          <t>Panzer20:</t>
        </r>
        <r>
          <rPr>
            <sz val="9"/>
            <color indexed="81"/>
            <rFont val="Tahoma"/>
            <family val="2"/>
          </rPr>
          <t xml:space="preserve">
TIRM indica que si se debe tomar el crédito hipotecario #Recordar que usa tasa CAE promedio.
</t>
        </r>
      </text>
    </comment>
  </commentList>
</comments>
</file>

<file path=xl/sharedStrings.xml><?xml version="1.0" encoding="utf-8"?>
<sst xmlns="http://schemas.openxmlformats.org/spreadsheetml/2006/main" count="552" uniqueCount="285">
  <si>
    <t>Negocio 1</t>
  </si>
  <si>
    <t>Ingresos por arriendo</t>
  </si>
  <si>
    <t>- Departmentos entre 2000 y 3500 UF</t>
  </si>
  <si>
    <t>Nª Deptos</t>
  </si>
  <si>
    <t>Precio UF</t>
  </si>
  <si>
    <t>Precio $</t>
  </si>
  <si>
    <t>Gastos de Mantención</t>
  </si>
  <si>
    <t>Margen Bruto</t>
  </si>
  <si>
    <t>Margen Neto</t>
  </si>
  <si>
    <t xml:space="preserve">Ingresos Operacionales </t>
  </si>
  <si>
    <t>- Arrendamientos entre 250.000 y 300.000 pesos Mensuales</t>
  </si>
  <si>
    <t>Propiedad 
Gestores</t>
  </si>
  <si>
    <t>Total</t>
  </si>
  <si>
    <t>Año</t>
  </si>
  <si>
    <t>I.Inversión</t>
  </si>
  <si>
    <t>31-01-2017</t>
  </si>
  <si>
    <t>31-01-2018</t>
  </si>
  <si>
    <t>31-01-2019</t>
  </si>
  <si>
    <t>31-01-2020</t>
  </si>
  <si>
    <t>31-01-2021</t>
  </si>
  <si>
    <t>31-01-2022</t>
  </si>
  <si>
    <t>31-01-2023</t>
  </si>
  <si>
    <t>31-01-2024</t>
  </si>
  <si>
    <t>31-01-2025</t>
  </si>
  <si>
    <t>31-01-2026</t>
  </si>
  <si>
    <t>31-01-2027</t>
  </si>
  <si>
    <t>28-02-2017</t>
  </si>
  <si>
    <t>31-03-2017</t>
  </si>
  <si>
    <t>30-04-2017</t>
  </si>
  <si>
    <t>31-05-2017</t>
  </si>
  <si>
    <t>30-06-2017</t>
  </si>
  <si>
    <t>31-07-2017</t>
  </si>
  <si>
    <t>31-08-2017</t>
  </si>
  <si>
    <t>30-09-2017</t>
  </si>
  <si>
    <t>31-10-2017</t>
  </si>
  <si>
    <t>30-11-2017</t>
  </si>
  <si>
    <t>31-12-2017</t>
  </si>
  <si>
    <t>28-02-2018</t>
  </si>
  <si>
    <t>31-03-2018</t>
  </si>
  <si>
    <t>30-04-2018</t>
  </si>
  <si>
    <t>31-05-2018</t>
  </si>
  <si>
    <t>30-06-2018</t>
  </si>
  <si>
    <t>31-07-2018</t>
  </si>
  <si>
    <t>31-08-2018</t>
  </si>
  <si>
    <t>30-09-2018</t>
  </si>
  <si>
    <t>31-10-2018</t>
  </si>
  <si>
    <t>30-11-2018</t>
  </si>
  <si>
    <t>31-12-2018</t>
  </si>
  <si>
    <t>28-02-2019</t>
  </si>
  <si>
    <t>31-03-2019</t>
  </si>
  <si>
    <t>30-04-2019</t>
  </si>
  <si>
    <t>31-05-2019</t>
  </si>
  <si>
    <t>30-06-2019</t>
  </si>
  <si>
    <t>31-07-2019</t>
  </si>
  <si>
    <t>31-08-2019</t>
  </si>
  <si>
    <t>30-09-2019</t>
  </si>
  <si>
    <t>31-10-2019</t>
  </si>
  <si>
    <t>30-11-2019</t>
  </si>
  <si>
    <t>31-12-2019</t>
  </si>
  <si>
    <t>28-02-2020</t>
  </si>
  <si>
    <t>31-03-2020</t>
  </si>
  <si>
    <t>30-04-2020</t>
  </si>
  <si>
    <t>31-05-2020</t>
  </si>
  <si>
    <t>30-06-2020</t>
  </si>
  <si>
    <t>31-07-2020</t>
  </si>
  <si>
    <t>31-08-2020</t>
  </si>
  <si>
    <t>30-09-2020</t>
  </si>
  <si>
    <t>31-10-2020</t>
  </si>
  <si>
    <t>30-11-2020</t>
  </si>
  <si>
    <t>31-12-2020</t>
  </si>
  <si>
    <t>28-02-2021</t>
  </si>
  <si>
    <t>31-03-2021</t>
  </si>
  <si>
    <t>30-04-2021</t>
  </si>
  <si>
    <t>31-05-2021</t>
  </si>
  <si>
    <t>30-06-2021</t>
  </si>
  <si>
    <t>31-07-2021</t>
  </si>
  <si>
    <t>31-08-2021</t>
  </si>
  <si>
    <t>30-09-2021</t>
  </si>
  <si>
    <t>31-10-2021</t>
  </si>
  <si>
    <t>30-11-2021</t>
  </si>
  <si>
    <t>31-12-2021</t>
  </si>
  <si>
    <t>28-02-2022</t>
  </si>
  <si>
    <t>31-03-2022</t>
  </si>
  <si>
    <t>30-04-2022</t>
  </si>
  <si>
    <t>31-05-2022</t>
  </si>
  <si>
    <t>30-06-2022</t>
  </si>
  <si>
    <t>31-07-2022</t>
  </si>
  <si>
    <t>31-08-2022</t>
  </si>
  <si>
    <t>30-09-2022</t>
  </si>
  <si>
    <t>31-10-2022</t>
  </si>
  <si>
    <t>30-11-2022</t>
  </si>
  <si>
    <t>31-12-2022</t>
  </si>
  <si>
    <t>28-02-2023</t>
  </si>
  <si>
    <t>31-03-2023</t>
  </si>
  <si>
    <t>30-04-2023</t>
  </si>
  <si>
    <t>31-05-2023</t>
  </si>
  <si>
    <t>30-06-2023</t>
  </si>
  <si>
    <t>31-07-2023</t>
  </si>
  <si>
    <t>31-08-2023</t>
  </si>
  <si>
    <t>30-09-2023</t>
  </si>
  <si>
    <t>31-10-2023</t>
  </si>
  <si>
    <t>30-11-2023</t>
  </si>
  <si>
    <t>31-12-2023</t>
  </si>
  <si>
    <t>28-02-2024</t>
  </si>
  <si>
    <t>31-03-2024</t>
  </si>
  <si>
    <t>30-04-2024</t>
  </si>
  <si>
    <t>31-05-2024</t>
  </si>
  <si>
    <t>30-06-2024</t>
  </si>
  <si>
    <t>31-07-2024</t>
  </si>
  <si>
    <t>31-08-2024</t>
  </si>
  <si>
    <t>30-09-2024</t>
  </si>
  <si>
    <t>31-10-2024</t>
  </si>
  <si>
    <t>30-11-2024</t>
  </si>
  <si>
    <t>31-12-2024</t>
  </si>
  <si>
    <t>28-02-2025</t>
  </si>
  <si>
    <t>31-03-2025</t>
  </si>
  <si>
    <t>30-04-2025</t>
  </si>
  <si>
    <t>31-05-2025</t>
  </si>
  <si>
    <t>30-06-2025</t>
  </si>
  <si>
    <t>31-07-2025</t>
  </si>
  <si>
    <t>31-08-2025</t>
  </si>
  <si>
    <t>30-09-2025</t>
  </si>
  <si>
    <t>31-10-2025</t>
  </si>
  <si>
    <t>30-11-2025</t>
  </si>
  <si>
    <t>31-12-2025</t>
  </si>
  <si>
    <t>28-02-2026</t>
  </si>
  <si>
    <t>31-03-2026</t>
  </si>
  <si>
    <t>30-04-2026</t>
  </si>
  <si>
    <t>31-05-2026</t>
  </si>
  <si>
    <t>30-06-2026</t>
  </si>
  <si>
    <t>31-07-2026</t>
  </si>
  <si>
    <t>31-08-2026</t>
  </si>
  <si>
    <t>30-09-2026</t>
  </si>
  <si>
    <t>31-10-2026</t>
  </si>
  <si>
    <t>30-11-2026</t>
  </si>
  <si>
    <t>31-12-2026</t>
  </si>
  <si>
    <t>31-12-2016</t>
  </si>
  <si>
    <t>Costo de la Deuda</t>
  </si>
  <si>
    <t>RF</t>
  </si>
  <si>
    <t>PRIMA</t>
  </si>
  <si>
    <t>Beta</t>
  </si>
  <si>
    <t>- Gastos de reparación alrededor de un 5% mensual del ingreso.</t>
  </si>
  <si>
    <t>- Contratos no inferiores a 1 año</t>
  </si>
  <si>
    <t>Sociedad</t>
  </si>
  <si>
    <t>Participación Sociedad I</t>
  </si>
  <si>
    <t>III.Ingresos</t>
  </si>
  <si>
    <t xml:space="preserve">Financiamiento 
Socio </t>
  </si>
  <si>
    <t xml:space="preserve">Propiedad 
Socio </t>
  </si>
  <si>
    <t>Tasa de Interés Créditos Hipotecarios SBIF anual</t>
  </si>
  <si>
    <t>Tasa de Crecimiento de los ingresos</t>
  </si>
  <si>
    <t>Tasa de Interés Promedio Créditos Hipotecarios (CAE)</t>
  </si>
  <si>
    <t>II.A. Participación</t>
  </si>
  <si>
    <t>Valor Actual</t>
  </si>
  <si>
    <t>Tasa 10 años</t>
  </si>
  <si>
    <t>Nª Años</t>
  </si>
  <si>
    <t>Meses</t>
  </si>
  <si>
    <t>Total Meses</t>
  </si>
  <si>
    <t>Prom anual</t>
  </si>
  <si>
    <t>Negocio Ingresos Mensuales</t>
  </si>
  <si>
    <t xml:space="preserve"> (Incrementar el flujo de ingresos un 5% anual para protegernos de la inflación.)</t>
  </si>
  <si>
    <t>Fact. Act.</t>
  </si>
  <si>
    <t>Amortización</t>
  </si>
  <si>
    <t>Tirm</t>
  </si>
  <si>
    <t>Tasa SBIF</t>
  </si>
  <si>
    <t>Consorcio</t>
  </si>
  <si>
    <t>BBVA</t>
  </si>
  <si>
    <t>Metlife</t>
  </si>
  <si>
    <t>Security/Principal</t>
  </si>
  <si>
    <t>IV.Financiamiento: Crédito Bancario/Banca Privada</t>
  </si>
  <si>
    <t>Tabla de Amortización de Préstamo/Crédito Hipotecario</t>
  </si>
  <si>
    <t>Tabla de Amortización de Préstamo/Banca Privada</t>
  </si>
  <si>
    <t>Beta Desapalancado</t>
  </si>
  <si>
    <t>WACC</t>
  </si>
  <si>
    <t>Tasa Capital Propio</t>
  </si>
  <si>
    <t>Costo Patrimonial</t>
  </si>
  <si>
    <t>V.Costo de Capital</t>
  </si>
  <si>
    <t>Ingresos</t>
  </si>
  <si>
    <t>CAE</t>
  </si>
  <si>
    <t>Gastos de Mant</t>
  </si>
  <si>
    <t>Positivo</t>
  </si>
  <si>
    <t>Negativo</t>
  </si>
  <si>
    <t>Neutro</t>
  </si>
  <si>
    <t>VI.Escenarios</t>
  </si>
  <si>
    <t>Gasto por Depreciación</t>
  </si>
  <si>
    <t>Resultado Neto</t>
  </si>
  <si>
    <t xml:space="preserve">Gastos de Corretaje </t>
  </si>
  <si>
    <t xml:space="preserve">Impuesto a la renta </t>
  </si>
  <si>
    <t>Pesimista</t>
  </si>
  <si>
    <t>Neutral</t>
  </si>
  <si>
    <t>Favorable</t>
  </si>
  <si>
    <t>Flujo de Caja Neto</t>
  </si>
  <si>
    <t>Capital de Trabajo</t>
  </si>
  <si>
    <t>VAN</t>
  </si>
  <si>
    <t>Perpetuidad</t>
  </si>
  <si>
    <t>Intereses</t>
  </si>
  <si>
    <t>Resultado Antes de Impuesto</t>
  </si>
  <si>
    <t>Amortización de Deuda</t>
  </si>
  <si>
    <t>TIRM</t>
  </si>
  <si>
    <t>Capitalistas</t>
  </si>
  <si>
    <t>Negocio 2</t>
  </si>
  <si>
    <t>Arrendamiento Apart Hotel en Santiago Centro.</t>
  </si>
  <si>
    <t>Arrendamiento de departamentos para profesionales en comunas en Santiago Centro.</t>
  </si>
  <si>
    <t>Plan de inversión apart hotel Santiago Centro 2018</t>
  </si>
  <si>
    <t>Caracteristicas DPTO</t>
  </si>
  <si>
    <t>Caracteristicas del Plan</t>
  </si>
  <si>
    <t>Tipologia</t>
  </si>
  <si>
    <t>1dor + 1bañ</t>
  </si>
  <si>
    <t>Valor noche</t>
  </si>
  <si>
    <t>N° Dpto</t>
  </si>
  <si>
    <t>Costo de adm.</t>
  </si>
  <si>
    <t>N° Estacionamiento</t>
  </si>
  <si>
    <t>a confirmar</t>
  </si>
  <si>
    <t>N° Bodega</t>
  </si>
  <si>
    <t>Analisis mensual</t>
  </si>
  <si>
    <t>Ocupacion minima 10 dias</t>
  </si>
  <si>
    <t>Ocupación media 14 dias</t>
  </si>
  <si>
    <t>Ocupación maxima 25 dias</t>
  </si>
  <si>
    <t>Orientacion</t>
  </si>
  <si>
    <t xml:space="preserve"> PONIENTE</t>
  </si>
  <si>
    <t>Ingresos x noches</t>
  </si>
  <si>
    <t>Mts Totales</t>
  </si>
  <si>
    <t>Costo de servcio</t>
  </si>
  <si>
    <t>Mts Util</t>
  </si>
  <si>
    <t>Dividendo</t>
  </si>
  <si>
    <t>Mts Terraza</t>
  </si>
  <si>
    <t>Utilidad</t>
  </si>
  <si>
    <t>Pago de pie</t>
  </si>
  <si>
    <t>DEPTO CONTADO</t>
  </si>
  <si>
    <t xml:space="preserve">Precio depto          </t>
  </si>
  <si>
    <t>UF</t>
  </si>
  <si>
    <t xml:space="preserve">Precio Estac.                </t>
  </si>
  <si>
    <t xml:space="preserve">Precio Bod           </t>
  </si>
  <si>
    <t>Analisis anual</t>
  </si>
  <si>
    <t>Rentabilidad a minima ocupación</t>
  </si>
  <si>
    <t xml:space="preserve">Precio Total         </t>
  </si>
  <si>
    <t>Rentabilidad a media ocupación</t>
  </si>
  <si>
    <t xml:space="preserve">Precio depto           </t>
  </si>
  <si>
    <t>$</t>
  </si>
  <si>
    <t>Rentabilidad a alta ocupación</t>
  </si>
  <si>
    <t xml:space="preserve">Porcentaje pie      </t>
  </si>
  <si>
    <t>%</t>
  </si>
  <si>
    <t xml:space="preserve">Monto pie            </t>
  </si>
  <si>
    <t xml:space="preserve">Monto pie              </t>
  </si>
  <si>
    <t xml:space="preserve">Reserva                 </t>
  </si>
  <si>
    <t xml:space="preserve">Pie menos Reserva </t>
  </si>
  <si>
    <t>Monto pie desc Reserva</t>
  </si>
  <si>
    <t>Cuotas</t>
    <phoneticPr fontId="1" type="noConversion"/>
  </si>
  <si>
    <t xml:space="preserve">Valor cuota           </t>
  </si>
  <si>
    <t>Valo cuota</t>
  </si>
  <si>
    <t>Crédito Hipotecario</t>
  </si>
  <si>
    <t xml:space="preserve">Precio depto  </t>
  </si>
  <si>
    <t>Porcentaje pie</t>
  </si>
  <si>
    <t>Porcentaje a financiar</t>
  </si>
  <si>
    <t xml:space="preserve">Monto Financiado   </t>
  </si>
  <si>
    <t>Tasa Anual</t>
  </si>
  <si>
    <t>Tasa Mensual</t>
  </si>
  <si>
    <t>Plazo en Años</t>
  </si>
  <si>
    <t>Plazo en meses</t>
  </si>
  <si>
    <t xml:space="preserve">Divendidendo Mensual </t>
  </si>
  <si>
    <t xml:space="preserve">Dividendo Anual  </t>
  </si>
  <si>
    <t xml:space="preserve">Dividendo Anual </t>
  </si>
  <si>
    <t>Comisiones CPTZ</t>
    <phoneticPr fontId="1" type="noConversion"/>
  </si>
  <si>
    <t xml:space="preserve">Valor depto </t>
  </si>
  <si>
    <t>Comisión CPTZ</t>
  </si>
  <si>
    <t>Valor comisión</t>
    <phoneticPr fontId="1" type="noConversion"/>
  </si>
  <si>
    <t>Pre-Evaluación Bancaria</t>
    <phoneticPr fontId="1" type="noConversion"/>
  </si>
  <si>
    <t>UF mes</t>
  </si>
  <si>
    <t>Monto Sueldo</t>
    <phoneticPr fontId="1" type="noConversion"/>
  </si>
  <si>
    <t>Factor</t>
    <phoneticPr fontId="1" type="noConversion"/>
  </si>
  <si>
    <t>Préstamo</t>
    <phoneticPr fontId="1" type="noConversion"/>
  </si>
  <si>
    <t>Deudas</t>
    <phoneticPr fontId="1" type="noConversion"/>
  </si>
  <si>
    <t>Monto final préstamo $</t>
    <phoneticPr fontId="1" type="noConversion"/>
  </si>
  <si>
    <t>Monto final préstamo UF</t>
    <phoneticPr fontId="1" type="noConversion"/>
  </si>
  <si>
    <t>UF 08.08.2016</t>
  </si>
  <si>
    <t>Capitalista</t>
  </si>
  <si>
    <t>II.B. Financiamiento por Departamento</t>
  </si>
  <si>
    <t>Tipo</t>
  </si>
  <si>
    <t>Tasa Efectiva</t>
  </si>
  <si>
    <t>Prom mensual</t>
  </si>
  <si>
    <t>Equivalente Mensual</t>
  </si>
  <si>
    <t>Fact. Act. Denom.</t>
  </si>
  <si>
    <t>VII. Gasto por depreciación</t>
  </si>
  <si>
    <t>TIR</t>
  </si>
  <si>
    <t>Socio 1</t>
  </si>
  <si>
    <t>Socio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</si>
</sst>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$&quot;\ * #,##0_-;\-&quot;$&quot;\ * #,##0_-;_-&quot;$&quot;\ * &quot;-&quot;_-;_-@_-"/>
    <numFmt numFmtId="41" formatCode="_-* #,##0_-;\-* #,##0_-;_-* &quot;-&quot;_-;_-@_-"/>
    <numFmt numFmtId="164" formatCode="&quot;$&quot;#,##0.00_);[Red]\(&quot;$&quot;#,##0.00\)"/>
    <numFmt numFmtId="165" formatCode="0.000%"/>
    <numFmt numFmtId="166" formatCode="0.0000"/>
    <numFmt numFmtId="167" formatCode="#,##0.0"/>
    <numFmt numFmtId="168" formatCode="#,##0.0000"/>
    <numFmt numFmtId="169" formatCode="&quot;$&quot;#,##0"/>
    <numFmt numFmtId="170" formatCode="0.0000%"/>
    <numFmt numFmtId="171" formatCode="0.0000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6666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58">
    <xf numFmtId="0" fontId="0" fillId="0" borderId="0" xfId="0"/>
    <xf numFmtId="0" fontId="0" fillId="2" borderId="0" xfId="0" applyFill="1"/>
    <xf numFmtId="0" fontId="0" fillId="2" borderId="0" xfId="0" quotePrefix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/>
    <xf numFmtId="3" fontId="0" fillId="2" borderId="1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3" fontId="0" fillId="2" borderId="0" xfId="0" applyNumberFormat="1" applyFill="1" applyBorder="1"/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0" fontId="0" fillId="2" borderId="0" xfId="0" applyFill="1" applyBorder="1" applyAlignment="1">
      <alignment horizontal="center" vertical="center" wrapText="1"/>
    </xf>
    <xf numFmtId="10" fontId="0" fillId="2" borderId="0" xfId="0" applyNumberForma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3" fontId="0" fillId="2" borderId="14" xfId="0" applyNumberFormat="1" applyFill="1" applyBorder="1"/>
    <xf numFmtId="10" fontId="0" fillId="2" borderId="7" xfId="0" applyNumberFormat="1" applyFill="1" applyBorder="1"/>
    <xf numFmtId="10" fontId="0" fillId="2" borderId="8" xfId="0" applyNumberFormat="1" applyFill="1" applyBorder="1"/>
    <xf numFmtId="0" fontId="0" fillId="2" borderId="11" xfId="0" applyFill="1" applyBorder="1"/>
    <xf numFmtId="10" fontId="0" fillId="2" borderId="12" xfId="0" applyNumberFormat="1" applyFill="1" applyBorder="1"/>
    <xf numFmtId="10" fontId="0" fillId="2" borderId="13" xfId="0" applyNumberFormat="1" applyFill="1" applyBorder="1"/>
    <xf numFmtId="9" fontId="0" fillId="2" borderId="8" xfId="0" applyNumberFormat="1" applyFill="1" applyBorder="1"/>
    <xf numFmtId="9" fontId="0" fillId="2" borderId="10" xfId="0" applyNumberFormat="1" applyFill="1" applyBorder="1"/>
    <xf numFmtId="9" fontId="0" fillId="2" borderId="13" xfId="0" applyNumberForma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ill="1"/>
    <xf numFmtId="10" fontId="0" fillId="2" borderId="0" xfId="0" applyNumberFormat="1" applyFill="1" applyBorder="1"/>
    <xf numFmtId="3" fontId="1" fillId="2" borderId="1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6" xfId="0" applyFill="1" applyBorder="1"/>
    <xf numFmtId="0" fontId="0" fillId="2" borderId="9" xfId="0" applyFill="1" applyBorder="1"/>
    <xf numFmtId="10" fontId="2" fillId="0" borderId="0" xfId="0" applyNumberFormat="1" applyFont="1" applyAlignment="1">
      <alignment horizontal="left" vertical="center" wrapText="1" indent="1"/>
    </xf>
    <xf numFmtId="10" fontId="0" fillId="2" borderId="15" xfId="0" applyNumberFormat="1" applyFill="1" applyBorder="1"/>
    <xf numFmtId="4" fontId="0" fillId="2" borderId="15" xfId="0" applyNumberForma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9" fontId="0" fillId="2" borderId="0" xfId="0" applyNumberFormat="1" applyFill="1" applyAlignment="1">
      <alignment vertical="center"/>
    </xf>
    <xf numFmtId="4" fontId="0" fillId="2" borderId="0" xfId="0" applyNumberFormat="1" applyFont="1" applyFill="1" applyBorder="1"/>
    <xf numFmtId="0" fontId="0" fillId="2" borderId="16" xfId="0" applyFill="1" applyBorder="1"/>
    <xf numFmtId="10" fontId="0" fillId="2" borderId="3" xfId="0" applyNumberFormat="1" applyFill="1" applyBorder="1"/>
    <xf numFmtId="0" fontId="0" fillId="2" borderId="0" xfId="0" applyFill="1" applyBorder="1" applyAlignment="1">
      <alignment horizontal="right"/>
    </xf>
    <xf numFmtId="3" fontId="0" fillId="2" borderId="2" xfId="0" applyNumberFormat="1" applyFill="1" applyBorder="1"/>
    <xf numFmtId="3" fontId="0" fillId="2" borderId="16" xfId="0" applyNumberFormat="1" applyFill="1" applyBorder="1"/>
    <xf numFmtId="3" fontId="0" fillId="2" borderId="6" xfId="0" applyNumberFormat="1" applyFill="1" applyBorder="1"/>
    <xf numFmtId="168" fontId="0" fillId="2" borderId="0" xfId="0" applyNumberFormat="1" applyFill="1"/>
    <xf numFmtId="2" fontId="0" fillId="2" borderId="3" xfId="0" applyNumberFormat="1" applyFill="1" applyBorder="1"/>
    <xf numFmtId="3" fontId="1" fillId="2" borderId="0" xfId="0" applyNumberFormat="1" applyFont="1" applyFill="1"/>
    <xf numFmtId="167" fontId="0" fillId="2" borderId="8" xfId="0" applyNumberFormat="1" applyFill="1" applyBorder="1"/>
    <xf numFmtId="3" fontId="0" fillId="2" borderId="9" xfId="0" applyNumberFormat="1" applyFill="1" applyBorder="1"/>
    <xf numFmtId="10" fontId="0" fillId="2" borderId="10" xfId="0" applyNumberFormat="1" applyFill="1" applyBorder="1"/>
    <xf numFmtId="3" fontId="0" fillId="2" borderId="11" xfId="0" applyNumberFormat="1" applyFill="1" applyBorder="1"/>
    <xf numFmtId="2" fontId="0" fillId="2" borderId="0" xfId="0" applyNumberFormat="1" applyFill="1" applyBorder="1"/>
    <xf numFmtId="10" fontId="0" fillId="2" borderId="6" xfId="0" applyNumberFormat="1" applyFill="1" applyBorder="1"/>
    <xf numFmtId="10" fontId="0" fillId="2" borderId="11" xfId="0" applyNumberFormat="1" applyFill="1" applyBorder="1"/>
    <xf numFmtId="164" fontId="0" fillId="2" borderId="0" xfId="0" applyNumberFormat="1" applyFill="1"/>
    <xf numFmtId="3" fontId="1" fillId="2" borderId="15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166" fontId="0" fillId="2" borderId="15" xfId="0" applyNumberFormat="1" applyFill="1" applyBorder="1"/>
    <xf numFmtId="3" fontId="0" fillId="2" borderId="1" xfId="0" applyNumberFormat="1" applyFill="1" applyBorder="1"/>
    <xf numFmtId="3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vertical="center" wrapText="1"/>
    </xf>
    <xf numFmtId="42" fontId="0" fillId="2" borderId="0" xfId="2" applyFont="1" applyFill="1" applyBorder="1"/>
    <xf numFmtId="0" fontId="0" fillId="2" borderId="0" xfId="0" applyFont="1" applyFill="1" applyBorder="1"/>
    <xf numFmtId="0" fontId="0" fillId="0" borderId="0" xfId="0" applyFont="1"/>
    <xf numFmtId="0" fontId="0" fillId="2" borderId="18" xfId="0" applyFont="1" applyFill="1" applyBorder="1"/>
    <xf numFmtId="0" fontId="0" fillId="2" borderId="19" xfId="0" applyFont="1" applyFill="1" applyBorder="1"/>
    <xf numFmtId="0" fontId="0" fillId="2" borderId="3" xfId="0" applyFont="1" applyFill="1" applyBorder="1"/>
    <xf numFmtId="22" fontId="0" fillId="2" borderId="0" xfId="0" applyNumberFormat="1" applyFont="1" applyFill="1" applyBorder="1"/>
    <xf numFmtId="0" fontId="0" fillId="2" borderId="1" xfId="0" applyFont="1" applyFill="1" applyBorder="1"/>
    <xf numFmtId="9" fontId="0" fillId="2" borderId="1" xfId="0" applyNumberFormat="1" applyFont="1" applyFill="1" applyBorder="1"/>
    <xf numFmtId="10" fontId="0" fillId="2" borderId="1" xfId="0" applyNumberFormat="1" applyFont="1" applyFill="1" applyBorder="1"/>
    <xf numFmtId="3" fontId="0" fillId="2" borderId="0" xfId="0" applyNumberFormat="1" applyFont="1" applyFill="1" applyBorder="1"/>
    <xf numFmtId="1" fontId="0" fillId="2" borderId="0" xfId="0" applyNumberFormat="1" applyFont="1" applyFill="1" applyBorder="1"/>
    <xf numFmtId="3" fontId="0" fillId="2" borderId="0" xfId="0" applyNumberFormat="1" applyFill="1" applyAlignment="1">
      <alignment vertical="center"/>
    </xf>
    <xf numFmtId="14" fontId="6" fillId="2" borderId="0" xfId="0" applyNumberFormat="1" applyFont="1" applyFill="1" applyBorder="1" applyAlignment="1">
      <alignment horizontal="center"/>
    </xf>
    <xf numFmtId="0" fontId="6" fillId="2" borderId="17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3" fontId="0" fillId="0" borderId="0" xfId="0" applyNumberFormat="1" applyFont="1"/>
    <xf numFmtId="3" fontId="6" fillId="2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69" fontId="0" fillId="2" borderId="0" xfId="0" applyNumberFormat="1" applyFont="1" applyFill="1" applyBorder="1"/>
    <xf numFmtId="0" fontId="9" fillId="4" borderId="21" xfId="0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3" fontId="6" fillId="3" borderId="2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1" fontId="6" fillId="0" borderId="1" xfId="2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3" fontId="6" fillId="0" borderId="21" xfId="0" applyNumberFormat="1" applyFont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3" fontId="6" fillId="2" borderId="0" xfId="0" applyNumberFormat="1" applyFont="1" applyFill="1" applyBorder="1"/>
    <xf numFmtId="0" fontId="9" fillId="4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9" fontId="6" fillId="0" borderId="1" xfId="2" applyNumberFormat="1" applyFont="1" applyBorder="1" applyAlignment="1">
      <alignment horizontal="center"/>
    </xf>
    <xf numFmtId="0" fontId="9" fillId="4" borderId="24" xfId="0" applyFont="1" applyFill="1" applyBorder="1"/>
    <xf numFmtId="4" fontId="6" fillId="4" borderId="1" xfId="0" applyNumberFormat="1" applyFont="1" applyFill="1" applyBorder="1" applyAlignment="1">
      <alignment horizontal="center"/>
    </xf>
    <xf numFmtId="169" fontId="6" fillId="4" borderId="1" xfId="2" applyNumberFormat="1" applyFont="1" applyFill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0" fontId="7" fillId="0" borderId="17" xfId="0" applyFont="1" applyBorder="1" applyAlignment="1"/>
    <xf numFmtId="0" fontId="10" fillId="0" borderId="3" xfId="0" applyFont="1" applyBorder="1" applyAlignment="1"/>
    <xf numFmtId="0" fontId="9" fillId="0" borderId="1" xfId="0" applyFont="1" applyBorder="1"/>
    <xf numFmtId="4" fontId="6" fillId="3" borderId="1" xfId="0" applyNumberFormat="1" applyFont="1" applyFill="1" applyBorder="1"/>
    <xf numFmtId="0" fontId="6" fillId="2" borderId="0" xfId="0" applyFont="1" applyFill="1" applyBorder="1"/>
    <xf numFmtId="3" fontId="6" fillId="3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1" fillId="0" borderId="1" xfId="0" applyFont="1" applyBorder="1"/>
    <xf numFmtId="3" fontId="8" fillId="0" borderId="1" xfId="0" applyNumberFormat="1" applyFont="1" applyBorder="1"/>
    <xf numFmtId="0" fontId="8" fillId="2" borderId="1" xfId="0" applyFont="1" applyFill="1" applyBorder="1" applyAlignment="1">
      <alignment horizontal="left" vertical="center" wrapText="1"/>
    </xf>
    <xf numFmtId="3" fontId="0" fillId="2" borderId="14" xfId="0" applyNumberFormat="1" applyFill="1" applyBorder="1" applyAlignment="1">
      <alignment vertical="center"/>
    </xf>
    <xf numFmtId="9" fontId="0" fillId="2" borderId="14" xfId="0" applyNumberFormat="1" applyFill="1" applyBorder="1" applyAlignment="1">
      <alignment vertical="center"/>
    </xf>
    <xf numFmtId="9" fontId="0" fillId="2" borderId="0" xfId="0" applyNumberFormat="1" applyFill="1"/>
    <xf numFmtId="0" fontId="0" fillId="2" borderId="1" xfId="0" applyFont="1" applyFill="1" applyBorder="1" applyAlignment="1">
      <alignment horizontal="center" vertical="center"/>
    </xf>
    <xf numFmtId="166" fontId="0" fillId="2" borderId="0" xfId="0" applyNumberFormat="1" applyFill="1" applyBorder="1"/>
    <xf numFmtId="10" fontId="0" fillId="2" borderId="5" xfId="0" applyNumberFormat="1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170" fontId="0" fillId="2" borderId="1" xfId="0" applyNumberFormat="1" applyFill="1" applyBorder="1"/>
    <xf numFmtId="171" fontId="0" fillId="2" borderId="1" xfId="0" applyNumberFormat="1" applyFill="1" applyBorder="1"/>
    <xf numFmtId="9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6" fillId="0" borderId="20" xfId="0" applyFont="1" applyBorder="1" applyAlignment="1"/>
    <xf numFmtId="0" fontId="6" fillId="0" borderId="19" xfId="0" applyFont="1" applyBorder="1" applyAlignment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4"/>
  <sheetViews>
    <sheetView zoomScale="80" zoomScaleNormal="80" workbookViewId="0">
      <selection activeCell="K49" sqref="K49:L52"/>
    </sheetView>
  </sheetViews>
  <sheetFormatPr baseColWidth="10" defaultRowHeight="15" x14ac:dyDescent="0.25"/>
  <cols>
    <col min="1" max="1" width="10.85546875" style="1" bestFit="1" customWidth="1"/>
    <col min="2" max="2" width="34" style="1" customWidth="1"/>
    <col min="3" max="3" width="15.28515625" style="1" bestFit="1" customWidth="1"/>
    <col min="4" max="4" width="13.42578125" style="1" customWidth="1"/>
    <col min="5" max="5" width="10.85546875" style="1" bestFit="1" customWidth="1"/>
    <col min="6" max="6" width="13.140625" style="1" bestFit="1" customWidth="1"/>
    <col min="7" max="7" width="15.28515625" style="1" customWidth="1"/>
    <col min="8" max="8" width="16" style="1" customWidth="1"/>
    <col min="9" max="9" width="10.85546875" style="1" bestFit="1" customWidth="1"/>
    <col min="10" max="10" width="11" style="1" customWidth="1"/>
    <col min="11" max="12" width="15.28515625" style="1" customWidth="1"/>
    <col min="13" max="13" width="15.28515625" style="1" bestFit="1" customWidth="1"/>
    <col min="14" max="16384" width="11.42578125" style="1"/>
  </cols>
  <sheetData>
    <row r="1" spans="1:13" x14ac:dyDescent="0.25">
      <c r="B1" s="1">
        <v>0.05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</row>
    <row r="2" spans="1:13" x14ac:dyDescent="0.25">
      <c r="A2" s="1" t="s">
        <v>188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  <c r="H2" s="4">
        <v>2022</v>
      </c>
      <c r="I2" s="4">
        <v>2023</v>
      </c>
      <c r="J2" s="4">
        <v>2024</v>
      </c>
      <c r="K2" s="4">
        <v>2025</v>
      </c>
      <c r="L2" s="4">
        <v>2026</v>
      </c>
      <c r="M2" s="4">
        <v>2027</v>
      </c>
    </row>
    <row r="3" spans="1:13" x14ac:dyDescent="0.25">
      <c r="B3" s="3" t="s">
        <v>1</v>
      </c>
      <c r="C3" s="13">
        <f>+Cifras!P12</f>
        <v>12541202.036210161</v>
      </c>
      <c r="D3" s="13">
        <f t="shared" ref="D3:M3" si="0">+C3*(1+$B$1)</f>
        <v>13168262.13802067</v>
      </c>
      <c r="E3" s="13">
        <f t="shared" si="0"/>
        <v>13826675.244921705</v>
      </c>
      <c r="F3" s="13">
        <f t="shared" si="0"/>
        <v>14518009.00716779</v>
      </c>
      <c r="G3" s="13">
        <f t="shared" si="0"/>
        <v>15243909.457526181</v>
      </c>
      <c r="H3" s="13">
        <f t="shared" si="0"/>
        <v>16006104.930402491</v>
      </c>
      <c r="I3" s="13">
        <f t="shared" si="0"/>
        <v>16806410.176922616</v>
      </c>
      <c r="J3" s="13">
        <f t="shared" si="0"/>
        <v>17646730.685768746</v>
      </c>
      <c r="K3" s="13">
        <f t="shared" si="0"/>
        <v>18529067.220057186</v>
      </c>
      <c r="L3" s="13">
        <f t="shared" si="0"/>
        <v>19455520.581060044</v>
      </c>
      <c r="M3" s="13">
        <f t="shared" si="0"/>
        <v>20428296.610113047</v>
      </c>
    </row>
    <row r="4" spans="1:13" x14ac:dyDescent="0.25">
      <c r="B4" s="1" t="s">
        <v>6</v>
      </c>
      <c r="C4" s="13">
        <f>-Negocio!$D$8*'Proyecto Puro'!C3</f>
        <v>-627060.10181050806</v>
      </c>
      <c r="D4" s="13">
        <f>-Negocio!$D$8*'Proyecto Puro'!D3</f>
        <v>-658413.10690103355</v>
      </c>
      <c r="E4" s="13">
        <f>-Negocio!$D$8*'Proyecto Puro'!E3</f>
        <v>-691333.76224608533</v>
      </c>
      <c r="F4" s="13">
        <f>-Negocio!$D$8*'Proyecto Puro'!F3</f>
        <v>-725900.45035838953</v>
      </c>
      <c r="G4" s="13">
        <f>-Negocio!$D$8*'Proyecto Puro'!G3</f>
        <v>-762195.47287630907</v>
      </c>
      <c r="H4" s="13">
        <f>-Negocio!$D$8*'Proyecto Puro'!H3</f>
        <v>-800305.24652012461</v>
      </c>
      <c r="I4" s="13">
        <f>-Negocio!$D$8*'Proyecto Puro'!I3</f>
        <v>-840320.5088461308</v>
      </c>
      <c r="J4" s="13">
        <f>-Negocio!$D$8*'Proyecto Puro'!J3</f>
        <v>-882336.53428843734</v>
      </c>
      <c r="K4" s="13">
        <f>-Negocio!$D$8*'Proyecto Puro'!K3</f>
        <v>-926453.36100285931</v>
      </c>
      <c r="L4" s="13">
        <f>-Negocio!$D$8*'Proyecto Puro'!L3</f>
        <v>-972776.02905300225</v>
      </c>
      <c r="M4" s="13">
        <f>-Negocio!$D$8*'Proyecto Puro'!M3</f>
        <v>-1021414.8305056524</v>
      </c>
    </row>
    <row r="5" spans="1:13" x14ac:dyDescent="0.25">
      <c r="B5" s="1" t="s">
        <v>183</v>
      </c>
      <c r="C5" s="13">
        <f>-Cifras!S52</f>
        <v>-1216577.7490999999</v>
      </c>
      <c r="D5" s="13">
        <f>-Cifras!T52</f>
        <v>-1216577.7490999999</v>
      </c>
      <c r="E5" s="13">
        <f>-Cifras!U52</f>
        <v>-1216577.7490999999</v>
      </c>
      <c r="F5" s="13">
        <f>-Cifras!V52</f>
        <v>-1216577.7490999999</v>
      </c>
      <c r="G5" s="13">
        <f>-Cifras!W52</f>
        <v>-1216577.7490999999</v>
      </c>
      <c r="H5" s="13">
        <f>-Cifras!X52</f>
        <v>-1216577.7490999999</v>
      </c>
      <c r="I5" s="13">
        <f>-Cifras!Y52</f>
        <v>-1216577.7490999999</v>
      </c>
      <c r="J5" s="13">
        <f>-Cifras!Z52</f>
        <v>-1216577.7490999999</v>
      </c>
      <c r="K5" s="13">
        <f>-Cifras!AA52</f>
        <v>-1216577.7490999999</v>
      </c>
      <c r="L5" s="13">
        <f>-Cifras!AB52</f>
        <v>-1216577.7490999999</v>
      </c>
      <c r="M5" s="13">
        <f>-Cifras!AC52</f>
        <v>-1216577.7490999999</v>
      </c>
    </row>
    <row r="6" spans="1:13" ht="15.75" thickBot="1" x14ac:dyDescent="0.3">
      <c r="B6" s="1" t="s">
        <v>185</v>
      </c>
      <c r="C6" s="22">
        <f t="shared" ref="C6:M6" si="1">-C3*0.1*1.19</f>
        <v>-1492403.042309009</v>
      </c>
      <c r="D6" s="22">
        <f t="shared" si="1"/>
        <v>-1567023.1944244597</v>
      </c>
      <c r="E6" s="22">
        <f t="shared" si="1"/>
        <v>-1645374.3541456831</v>
      </c>
      <c r="F6" s="22">
        <f t="shared" si="1"/>
        <v>-1727643.0718529669</v>
      </c>
      <c r="G6" s="22">
        <f t="shared" si="1"/>
        <v>-1814025.2254456156</v>
      </c>
      <c r="H6" s="22">
        <f t="shared" si="1"/>
        <v>-1904726.4867178965</v>
      </c>
      <c r="I6" s="22">
        <f t="shared" si="1"/>
        <v>-1999962.8110537913</v>
      </c>
      <c r="J6" s="22">
        <f t="shared" si="1"/>
        <v>-2099960.9516064809</v>
      </c>
      <c r="K6" s="22">
        <f t="shared" si="1"/>
        <v>-2204958.999186805</v>
      </c>
      <c r="L6" s="22">
        <f t="shared" si="1"/>
        <v>-2315206.949146145</v>
      </c>
      <c r="M6" s="22">
        <f t="shared" si="1"/>
        <v>-2430967.2966034524</v>
      </c>
    </row>
    <row r="7" spans="1:13" ht="15.75" thickTop="1" x14ac:dyDescent="0.25">
      <c r="B7" s="3" t="s">
        <v>9</v>
      </c>
      <c r="C7" s="13">
        <f t="shared" ref="C7:M7" si="2">SUM(C3:C6)</f>
        <v>9205161.142990645</v>
      </c>
      <c r="D7" s="13">
        <f t="shared" si="2"/>
        <v>9726248.0875951778</v>
      </c>
      <c r="E7" s="13">
        <f t="shared" si="2"/>
        <v>10273389.379429936</v>
      </c>
      <c r="F7" s="13">
        <f t="shared" si="2"/>
        <v>10847887.735856434</v>
      </c>
      <c r="G7" s="13">
        <f t="shared" si="2"/>
        <v>11451111.010104258</v>
      </c>
      <c r="H7" s="13">
        <f t="shared" si="2"/>
        <v>12084495.448064471</v>
      </c>
      <c r="I7" s="13">
        <f t="shared" si="2"/>
        <v>12749549.107922694</v>
      </c>
      <c r="J7" s="13">
        <f t="shared" si="2"/>
        <v>13447855.450773828</v>
      </c>
      <c r="K7" s="13">
        <f t="shared" si="2"/>
        <v>14181077.110767523</v>
      </c>
      <c r="L7" s="13">
        <f t="shared" si="2"/>
        <v>14950959.853760898</v>
      </c>
      <c r="M7" s="13">
        <f t="shared" si="2"/>
        <v>15759336.733903941</v>
      </c>
    </row>
    <row r="8" spans="1:13" ht="15.75" thickBot="1" x14ac:dyDescent="0.3">
      <c r="B8" s="1" t="s">
        <v>186</v>
      </c>
      <c r="C8" s="22">
        <f>-C7*0.25</f>
        <v>-2301290.2857476613</v>
      </c>
      <c r="D8" s="22">
        <f t="shared" ref="D8:M8" si="3">-D7*0.27</f>
        <v>-2626086.9836506983</v>
      </c>
      <c r="E8" s="22">
        <f t="shared" si="3"/>
        <v>-2773815.1324460832</v>
      </c>
      <c r="F8" s="22">
        <f t="shared" si="3"/>
        <v>-2928929.6886812374</v>
      </c>
      <c r="G8" s="22">
        <f t="shared" si="3"/>
        <v>-3091799.97272815</v>
      </c>
      <c r="H8" s="22">
        <f t="shared" si="3"/>
        <v>-3262813.7709774072</v>
      </c>
      <c r="I8" s="22">
        <f t="shared" si="3"/>
        <v>-3442378.2591391276</v>
      </c>
      <c r="J8" s="22">
        <f t="shared" si="3"/>
        <v>-3630920.9717089338</v>
      </c>
      <c r="K8" s="22">
        <f t="shared" si="3"/>
        <v>-3828890.8199072313</v>
      </c>
      <c r="L8" s="22">
        <f t="shared" si="3"/>
        <v>-4036759.160515443</v>
      </c>
      <c r="M8" s="22">
        <f t="shared" si="3"/>
        <v>-4255020.9181540646</v>
      </c>
    </row>
    <row r="9" spans="1:13" ht="15.75" thickTop="1" x14ac:dyDescent="0.25">
      <c r="B9" s="3" t="s">
        <v>184</v>
      </c>
      <c r="C9" s="13">
        <f t="shared" ref="C9:M9" si="4">+C7+C8</f>
        <v>6903870.8572429838</v>
      </c>
      <c r="D9" s="13">
        <f t="shared" si="4"/>
        <v>7100161.1039444795</v>
      </c>
      <c r="E9" s="13">
        <f t="shared" si="4"/>
        <v>7499574.2469838532</v>
      </c>
      <c r="F9" s="13">
        <f t="shared" si="4"/>
        <v>7918958.0471751969</v>
      </c>
      <c r="G9" s="13">
        <f t="shared" si="4"/>
        <v>8359311.0373761076</v>
      </c>
      <c r="H9" s="13">
        <f t="shared" si="4"/>
        <v>8821681.677087063</v>
      </c>
      <c r="I9" s="13">
        <f t="shared" si="4"/>
        <v>9307170.8487835657</v>
      </c>
      <c r="J9" s="13">
        <f t="shared" si="4"/>
        <v>9816934.479064893</v>
      </c>
      <c r="K9" s="13">
        <f t="shared" si="4"/>
        <v>10352186.290860292</v>
      </c>
      <c r="L9" s="13">
        <f t="shared" si="4"/>
        <v>10914200.693245456</v>
      </c>
      <c r="M9" s="13">
        <f t="shared" si="4"/>
        <v>11504315.815749876</v>
      </c>
    </row>
    <row r="10" spans="1:13" x14ac:dyDescent="0.25">
      <c r="B10" s="1" t="s">
        <v>183</v>
      </c>
      <c r="C10" s="13">
        <f>-C5</f>
        <v>1216577.7490999999</v>
      </c>
      <c r="D10" s="13">
        <f>-D5</f>
        <v>1216577.7490999999</v>
      </c>
      <c r="E10" s="13">
        <f>-E5</f>
        <v>1216577.7490999999</v>
      </c>
      <c r="F10" s="13">
        <f t="shared" ref="F10:M10" si="5">-F5</f>
        <v>1216577.7490999999</v>
      </c>
      <c r="G10" s="13">
        <f t="shared" si="5"/>
        <v>1216577.7490999999</v>
      </c>
      <c r="H10" s="13">
        <f t="shared" si="5"/>
        <v>1216577.7490999999</v>
      </c>
      <c r="I10" s="13">
        <f t="shared" si="5"/>
        <v>1216577.7490999999</v>
      </c>
      <c r="J10" s="13">
        <f t="shared" si="5"/>
        <v>1216577.7490999999</v>
      </c>
      <c r="K10" s="13">
        <f t="shared" si="5"/>
        <v>1216577.7490999999</v>
      </c>
      <c r="L10" s="13">
        <f t="shared" si="5"/>
        <v>1216577.7490999999</v>
      </c>
      <c r="M10" s="13">
        <f t="shared" si="5"/>
        <v>1216577.7490999999</v>
      </c>
    </row>
    <row r="11" spans="1:13" ht="15.75" thickBot="1" x14ac:dyDescent="0.3">
      <c r="B11" s="1" t="s">
        <v>191</v>
      </c>
      <c r="C11" s="22">
        <v>-1000000</v>
      </c>
      <c r="D11" s="22">
        <f t="shared" ref="D11:M11" si="6">-C3*0.1</f>
        <v>-1254120.2036210161</v>
      </c>
      <c r="E11" s="22">
        <f t="shared" si="6"/>
        <v>-1316826.2138020671</v>
      </c>
      <c r="F11" s="22">
        <f t="shared" si="6"/>
        <v>-1382667.5244921707</v>
      </c>
      <c r="G11" s="22">
        <f t="shared" si="6"/>
        <v>-1451800.9007167791</v>
      </c>
      <c r="H11" s="22">
        <f t="shared" si="6"/>
        <v>-1524390.9457526181</v>
      </c>
      <c r="I11" s="22">
        <f t="shared" si="6"/>
        <v>-1600610.4930402492</v>
      </c>
      <c r="J11" s="22">
        <f t="shared" si="6"/>
        <v>-1680641.0176922616</v>
      </c>
      <c r="K11" s="22">
        <f t="shared" si="6"/>
        <v>-1764673.0685768747</v>
      </c>
      <c r="L11" s="22">
        <f t="shared" si="6"/>
        <v>-1852906.7220057186</v>
      </c>
      <c r="M11" s="22">
        <f t="shared" si="6"/>
        <v>-1945552.0581060045</v>
      </c>
    </row>
    <row r="12" spans="1:13" ht="15.75" thickTop="1" x14ac:dyDescent="0.25">
      <c r="B12" s="3" t="s">
        <v>190</v>
      </c>
      <c r="C12" s="13">
        <f t="shared" ref="C12:M12" si="7">SUM(C9:C11)</f>
        <v>7120448.6063429834</v>
      </c>
      <c r="D12" s="13">
        <f t="shared" si="7"/>
        <v>7062618.6494234633</v>
      </c>
      <c r="E12" s="13">
        <f t="shared" si="7"/>
        <v>7399325.7822817862</v>
      </c>
      <c r="F12" s="13">
        <f t="shared" si="7"/>
        <v>7752868.2717830259</v>
      </c>
      <c r="G12" s="13">
        <f t="shared" si="7"/>
        <v>8124087.8857593285</v>
      </c>
      <c r="H12" s="13">
        <f t="shared" si="7"/>
        <v>8513868.4804344438</v>
      </c>
      <c r="I12" s="13">
        <f t="shared" si="7"/>
        <v>8923138.1048433166</v>
      </c>
      <c r="J12" s="13">
        <f t="shared" si="7"/>
        <v>9352871.2104726303</v>
      </c>
      <c r="K12" s="13">
        <f t="shared" si="7"/>
        <v>9804090.971383417</v>
      </c>
      <c r="L12" s="13">
        <f t="shared" si="7"/>
        <v>10277871.720339736</v>
      </c>
      <c r="M12" s="13">
        <f t="shared" si="7"/>
        <v>10775341.506743871</v>
      </c>
    </row>
    <row r="13" spans="1:13" ht="15.75" thickBot="1" x14ac:dyDescent="0.3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25">
      <c r="B14" s="20" t="s">
        <v>7</v>
      </c>
      <c r="C14" s="61">
        <f>+C7/C3</f>
        <v>0.73399352920179595</v>
      </c>
      <c r="D14" s="23">
        <f>+D7/D3</f>
        <v>0.73861288495409128</v>
      </c>
      <c r="E14" s="23">
        <f>+E7/E3</f>
        <v>0.74301227138484882</v>
      </c>
      <c r="F14" s="23">
        <f t="shared" ref="F14:M14" si="8">+F7/F3</f>
        <v>0.74720216322366562</v>
      </c>
      <c r="G14" s="23">
        <f t="shared" si="8"/>
        <v>0.75119253640349104</v>
      </c>
      <c r="H14" s="23">
        <f t="shared" si="8"/>
        <v>0.75499289181284857</v>
      </c>
      <c r="I14" s="23">
        <f t="shared" si="8"/>
        <v>0.7586122779169987</v>
      </c>
      <c r="J14" s="23">
        <f t="shared" si="8"/>
        <v>0.76205931230190349</v>
      </c>
      <c r="K14" s="23">
        <f t="shared" si="8"/>
        <v>0.7653422021922891</v>
      </c>
      <c r="L14" s="23">
        <f t="shared" si="8"/>
        <v>0.76846876399265629</v>
      </c>
      <c r="M14" s="24">
        <f t="shared" si="8"/>
        <v>0.77144644189776779</v>
      </c>
    </row>
    <row r="15" spans="1:13" ht="15.75" thickBot="1" x14ac:dyDescent="0.3">
      <c r="B15" s="21" t="s">
        <v>8</v>
      </c>
      <c r="C15" s="62">
        <f>+C9/C3</f>
        <v>0.55049514690134693</v>
      </c>
      <c r="D15" s="26">
        <f>+D9/D3</f>
        <v>0.53918740601648663</v>
      </c>
      <c r="E15" s="26">
        <f>+E9/E3</f>
        <v>0.54239895811093963</v>
      </c>
      <c r="F15" s="26">
        <f t="shared" ref="F15:M15" si="9">+F9/F3</f>
        <v>0.54545757915327586</v>
      </c>
      <c r="G15" s="26">
        <f t="shared" si="9"/>
        <v>0.5483705515745485</v>
      </c>
      <c r="H15" s="26">
        <f t="shared" si="9"/>
        <v>0.55114481102337942</v>
      </c>
      <c r="I15" s="26">
        <f t="shared" si="9"/>
        <v>0.55378696287940898</v>
      </c>
      <c r="J15" s="26">
        <f t="shared" si="9"/>
        <v>0.55630329798038947</v>
      </c>
      <c r="K15" s="26">
        <f t="shared" si="9"/>
        <v>0.55869980760037108</v>
      </c>
      <c r="L15" s="26">
        <f t="shared" si="9"/>
        <v>0.56098219771463909</v>
      </c>
      <c r="M15" s="27">
        <f t="shared" si="9"/>
        <v>0.5631559025853704</v>
      </c>
    </row>
    <row r="17" spans="1:13" x14ac:dyDescent="0.25">
      <c r="B17" s="1">
        <v>0.05</v>
      </c>
      <c r="C17" s="4">
        <v>1</v>
      </c>
      <c r="D17" s="4">
        <v>2</v>
      </c>
      <c r="E17" s="4">
        <v>3</v>
      </c>
      <c r="F17" s="4">
        <v>4</v>
      </c>
      <c r="G17" s="4">
        <v>5</v>
      </c>
      <c r="H17" s="4">
        <v>6</v>
      </c>
      <c r="I17" s="4">
        <v>7</v>
      </c>
      <c r="J17" s="4">
        <v>8</v>
      </c>
      <c r="K17" s="4">
        <v>9</v>
      </c>
      <c r="L17" s="4">
        <v>10</v>
      </c>
      <c r="M17" s="4">
        <v>11</v>
      </c>
    </row>
    <row r="18" spans="1:13" x14ac:dyDescent="0.25">
      <c r="A18" s="1" t="s">
        <v>187</v>
      </c>
      <c r="C18" s="4">
        <v>2017</v>
      </c>
      <c r="D18" s="4">
        <v>2018</v>
      </c>
      <c r="E18" s="4">
        <v>2019</v>
      </c>
      <c r="F18" s="4">
        <v>2020</v>
      </c>
      <c r="G18" s="4">
        <v>2021</v>
      </c>
      <c r="H18" s="4">
        <v>2022</v>
      </c>
      <c r="I18" s="4">
        <v>2023</v>
      </c>
      <c r="J18" s="4">
        <v>2024</v>
      </c>
      <c r="K18" s="4">
        <v>2025</v>
      </c>
      <c r="L18" s="4">
        <v>2026</v>
      </c>
      <c r="M18" s="4">
        <v>2027</v>
      </c>
    </row>
    <row r="19" spans="1:13" x14ac:dyDescent="0.25">
      <c r="B19" s="3" t="s">
        <v>1</v>
      </c>
      <c r="C19" s="13">
        <f>+C3*Cifras!$S$40</f>
        <v>10032961.628968129</v>
      </c>
      <c r="D19" s="13">
        <f t="shared" ref="D19:M19" si="10">+C19*(1+$B$1)</f>
        <v>10534609.710416535</v>
      </c>
      <c r="E19" s="13">
        <f t="shared" si="10"/>
        <v>11061340.195937362</v>
      </c>
      <c r="F19" s="13">
        <f t="shared" si="10"/>
        <v>11614407.205734231</v>
      </c>
      <c r="G19" s="13">
        <f t="shared" si="10"/>
        <v>12195127.566020943</v>
      </c>
      <c r="H19" s="13">
        <f t="shared" si="10"/>
        <v>12804883.94432199</v>
      </c>
      <c r="I19" s="13">
        <f t="shared" si="10"/>
        <v>13445128.141538091</v>
      </c>
      <c r="J19" s="13">
        <f t="shared" si="10"/>
        <v>14117384.548614996</v>
      </c>
      <c r="K19" s="13">
        <f t="shared" si="10"/>
        <v>14823253.776045745</v>
      </c>
      <c r="L19" s="13">
        <f t="shared" si="10"/>
        <v>15564416.464848034</v>
      </c>
      <c r="M19" s="13">
        <f t="shared" si="10"/>
        <v>16342637.288090436</v>
      </c>
    </row>
    <row r="20" spans="1:13" x14ac:dyDescent="0.25">
      <c r="B20" s="1" t="s">
        <v>6</v>
      </c>
      <c r="C20" s="13">
        <f>-Cifras!$S$42*'Proyecto Puro'!C19</f>
        <v>-752472.12217260967</v>
      </c>
      <c r="D20" s="13">
        <f>-Cifras!$S$42*'Proyecto Puro'!D19</f>
        <v>-790095.7282812401</v>
      </c>
      <c r="E20" s="13">
        <f>-Cifras!$S$42*'Proyecto Puro'!E19</f>
        <v>-829600.51469530212</v>
      </c>
      <c r="F20" s="13">
        <f>-Cifras!$S$42*'Proyecto Puro'!F19</f>
        <v>-871080.54043006722</v>
      </c>
      <c r="G20" s="13">
        <f>-Cifras!$S$42*'Proyecto Puro'!G19</f>
        <v>-914634.56745157077</v>
      </c>
      <c r="H20" s="13">
        <f>-Cifras!$S$42*'Proyecto Puro'!H19</f>
        <v>-960366.29582414916</v>
      </c>
      <c r="I20" s="13">
        <f>-Cifras!$S$42*'Proyecto Puro'!I19</f>
        <v>-1008384.6106153568</v>
      </c>
      <c r="J20" s="13">
        <f>-Cifras!$S$42*'Proyecto Puro'!J19</f>
        <v>-1058803.8411461245</v>
      </c>
      <c r="K20" s="13">
        <f>-Cifras!$S$42*'Proyecto Puro'!K19</f>
        <v>-1111744.0332034309</v>
      </c>
      <c r="L20" s="13">
        <f>-Cifras!$S$42*'Proyecto Puro'!L19</f>
        <v>-1167331.2348636026</v>
      </c>
      <c r="M20" s="13">
        <f>-Cifras!$S$42*'Proyecto Puro'!M19</f>
        <v>-1225697.7966067826</v>
      </c>
    </row>
    <row r="21" spans="1:13" x14ac:dyDescent="0.25">
      <c r="B21" s="1" t="s">
        <v>183</v>
      </c>
      <c r="C21" s="13">
        <f>+C5</f>
        <v>-1216577.7490999999</v>
      </c>
      <c r="D21" s="13">
        <f>+D5</f>
        <v>-1216577.7490999999</v>
      </c>
      <c r="E21" s="13">
        <f>+E5</f>
        <v>-1216577.7490999999</v>
      </c>
      <c r="F21" s="13">
        <f>+F5</f>
        <v>-1216577.7490999999</v>
      </c>
      <c r="G21" s="13">
        <f t="shared" ref="G21:J21" si="11">+G5</f>
        <v>-1216577.7490999999</v>
      </c>
      <c r="H21" s="13">
        <f t="shared" si="11"/>
        <v>-1216577.7490999999</v>
      </c>
      <c r="I21" s="13">
        <f t="shared" si="11"/>
        <v>-1216577.7490999999</v>
      </c>
      <c r="J21" s="13">
        <f t="shared" si="11"/>
        <v>-1216577.7490999999</v>
      </c>
      <c r="K21" s="13">
        <f>+K5</f>
        <v>-1216577.7490999999</v>
      </c>
      <c r="L21" s="13">
        <f>+L5</f>
        <v>-1216577.7490999999</v>
      </c>
      <c r="M21" s="13">
        <f>+M5</f>
        <v>-1216577.7490999999</v>
      </c>
    </row>
    <row r="22" spans="1:13" ht="15.75" thickBot="1" x14ac:dyDescent="0.3">
      <c r="B22" s="1" t="s">
        <v>185</v>
      </c>
      <c r="C22" s="22">
        <f t="shared" ref="C22:M22" si="12">-C19*0.1*1.19</f>
        <v>-1193922.4338472073</v>
      </c>
      <c r="D22" s="22">
        <f t="shared" si="12"/>
        <v>-1253618.5555395677</v>
      </c>
      <c r="E22" s="22">
        <f t="shared" si="12"/>
        <v>-1316299.4833165461</v>
      </c>
      <c r="F22" s="22">
        <f t="shared" si="12"/>
        <v>-1382114.4574823736</v>
      </c>
      <c r="G22" s="22">
        <f t="shared" si="12"/>
        <v>-1451220.1803564921</v>
      </c>
      <c r="H22" s="22">
        <f t="shared" si="12"/>
        <v>-1523781.1893743169</v>
      </c>
      <c r="I22" s="22">
        <f t="shared" si="12"/>
        <v>-1599970.2488430329</v>
      </c>
      <c r="J22" s="22">
        <f t="shared" si="12"/>
        <v>-1679968.7612851844</v>
      </c>
      <c r="K22" s="22">
        <f t="shared" si="12"/>
        <v>-1763967.1993494437</v>
      </c>
      <c r="L22" s="22">
        <f t="shared" si="12"/>
        <v>-1852165.5593169159</v>
      </c>
      <c r="M22" s="22">
        <f t="shared" si="12"/>
        <v>-1944773.8372827619</v>
      </c>
    </row>
    <row r="23" spans="1:13" ht="15.75" thickTop="1" x14ac:dyDescent="0.25">
      <c r="B23" s="3" t="s">
        <v>9</v>
      </c>
      <c r="C23" s="13">
        <f t="shared" ref="C23:M23" si="13">SUM(C19:C22)</f>
        <v>6869989.3238483127</v>
      </c>
      <c r="D23" s="13">
        <f t="shared" si="13"/>
        <v>7274317.6774957264</v>
      </c>
      <c r="E23" s="13">
        <f t="shared" si="13"/>
        <v>7698862.4488255139</v>
      </c>
      <c r="F23" s="13">
        <f t="shared" si="13"/>
        <v>8144634.4587217905</v>
      </c>
      <c r="G23" s="13">
        <f t="shared" si="13"/>
        <v>8612695.069112882</v>
      </c>
      <c r="H23" s="13">
        <f t="shared" si="13"/>
        <v>9104158.7100235242</v>
      </c>
      <c r="I23" s="13">
        <f t="shared" si="13"/>
        <v>9620195.5329797007</v>
      </c>
      <c r="J23" s="13">
        <f t="shared" si="13"/>
        <v>10162034.197083687</v>
      </c>
      <c r="K23" s="13">
        <f t="shared" si="13"/>
        <v>10730964.794392871</v>
      </c>
      <c r="L23" s="13">
        <f t="shared" si="13"/>
        <v>11328341.921567516</v>
      </c>
      <c r="M23" s="13">
        <f t="shared" si="13"/>
        <v>11955587.905100891</v>
      </c>
    </row>
    <row r="24" spans="1:13" ht="15.75" thickBot="1" x14ac:dyDescent="0.3">
      <c r="B24" s="1" t="s">
        <v>186</v>
      </c>
      <c r="C24" s="22">
        <f>-C23*0.25</f>
        <v>-1717497.3309620782</v>
      </c>
      <c r="D24" s="22">
        <f t="shared" ref="D24:M24" si="14">-D23*0.27</f>
        <v>-1964065.7729238463</v>
      </c>
      <c r="E24" s="22">
        <f t="shared" si="14"/>
        <v>-2078692.861182889</v>
      </c>
      <c r="F24" s="22">
        <f t="shared" si="14"/>
        <v>-2199051.3038548836</v>
      </c>
      <c r="G24" s="22">
        <f t="shared" si="14"/>
        <v>-2325427.6686604782</v>
      </c>
      <c r="H24" s="22">
        <f t="shared" si="14"/>
        <v>-2458122.8517063516</v>
      </c>
      <c r="I24" s="22">
        <f t="shared" si="14"/>
        <v>-2597452.7939045192</v>
      </c>
      <c r="J24" s="22">
        <f t="shared" si="14"/>
        <v>-2743749.2332125958</v>
      </c>
      <c r="K24" s="22">
        <f t="shared" si="14"/>
        <v>-2897360.4944860754</v>
      </c>
      <c r="L24" s="22">
        <f t="shared" si="14"/>
        <v>-3058652.3188232295</v>
      </c>
      <c r="M24" s="22">
        <f t="shared" si="14"/>
        <v>-3228008.7343772408</v>
      </c>
    </row>
    <row r="25" spans="1:13" ht="15.75" thickTop="1" x14ac:dyDescent="0.25">
      <c r="B25" s="3" t="s">
        <v>184</v>
      </c>
      <c r="C25" s="13">
        <f t="shared" ref="C25:M25" si="15">+C23+C24</f>
        <v>5152491.9928862341</v>
      </c>
      <c r="D25" s="13">
        <f t="shared" si="15"/>
        <v>5310251.9045718797</v>
      </c>
      <c r="E25" s="13">
        <f t="shared" si="15"/>
        <v>5620169.587642625</v>
      </c>
      <c r="F25" s="13">
        <f t="shared" si="15"/>
        <v>5945583.1548669068</v>
      </c>
      <c r="G25" s="13">
        <f t="shared" si="15"/>
        <v>6287267.4004524034</v>
      </c>
      <c r="H25" s="13">
        <f t="shared" si="15"/>
        <v>6646035.8583171722</v>
      </c>
      <c r="I25" s="13">
        <f t="shared" si="15"/>
        <v>7022742.739075182</v>
      </c>
      <c r="J25" s="13">
        <f t="shared" si="15"/>
        <v>7418284.9638710916</v>
      </c>
      <c r="K25" s="13">
        <f t="shared" si="15"/>
        <v>7833604.2999067958</v>
      </c>
      <c r="L25" s="13">
        <f t="shared" si="15"/>
        <v>8269689.6027442869</v>
      </c>
      <c r="M25" s="13">
        <f t="shared" si="15"/>
        <v>8727579.1707236506</v>
      </c>
    </row>
    <row r="26" spans="1:13" x14ac:dyDescent="0.25">
      <c r="B26" s="1" t="s">
        <v>183</v>
      </c>
      <c r="C26" s="13">
        <f>-C21</f>
        <v>1216577.7490999999</v>
      </c>
      <c r="D26" s="13">
        <f>-D21</f>
        <v>1216577.7490999999</v>
      </c>
      <c r="E26" s="13">
        <f>-E21</f>
        <v>1216577.7490999999</v>
      </c>
      <c r="F26" s="13">
        <f>-F21</f>
        <v>1216577.7490999999</v>
      </c>
      <c r="G26" s="13">
        <f t="shared" ref="G26" si="16">-G21</f>
        <v>1216577.7490999999</v>
      </c>
      <c r="H26" s="13">
        <f t="shared" ref="H26:M26" si="17">-H21</f>
        <v>1216577.7490999999</v>
      </c>
      <c r="I26" s="13">
        <f t="shared" si="17"/>
        <v>1216577.7490999999</v>
      </c>
      <c r="J26" s="13">
        <f t="shared" si="17"/>
        <v>1216577.7490999999</v>
      </c>
      <c r="K26" s="13">
        <f t="shared" si="17"/>
        <v>1216577.7490999999</v>
      </c>
      <c r="L26" s="13">
        <f t="shared" si="17"/>
        <v>1216577.7490999999</v>
      </c>
      <c r="M26" s="13">
        <f t="shared" si="17"/>
        <v>1216577.7490999999</v>
      </c>
    </row>
    <row r="27" spans="1:13" ht="15.75" thickBot="1" x14ac:dyDescent="0.3">
      <c r="B27" s="1" t="s">
        <v>191</v>
      </c>
      <c r="C27" s="22">
        <v>-1000000</v>
      </c>
      <c r="D27" s="22">
        <f t="shared" ref="D27:M27" si="18">-C19*0.12</f>
        <v>-1203955.3954761755</v>
      </c>
      <c r="E27" s="22">
        <f t="shared" si="18"/>
        <v>-1264153.1652499842</v>
      </c>
      <c r="F27" s="22">
        <f t="shared" si="18"/>
        <v>-1327360.8235124834</v>
      </c>
      <c r="G27" s="22">
        <f t="shared" si="18"/>
        <v>-1393728.8646881075</v>
      </c>
      <c r="H27" s="22">
        <f t="shared" si="18"/>
        <v>-1463415.3079225132</v>
      </c>
      <c r="I27" s="22">
        <f t="shared" si="18"/>
        <v>-1536586.0733186388</v>
      </c>
      <c r="J27" s="22">
        <f t="shared" si="18"/>
        <v>-1613415.3769845709</v>
      </c>
      <c r="K27" s="22">
        <f t="shared" si="18"/>
        <v>-1694086.1458337994</v>
      </c>
      <c r="L27" s="22">
        <f t="shared" si="18"/>
        <v>-1778790.4531254894</v>
      </c>
      <c r="M27" s="22">
        <f t="shared" si="18"/>
        <v>-1867729.9757817641</v>
      </c>
    </row>
    <row r="28" spans="1:13" ht="15.75" thickTop="1" x14ac:dyDescent="0.25">
      <c r="B28" s="3" t="s">
        <v>190</v>
      </c>
      <c r="C28" s="13">
        <f t="shared" ref="C28:M28" si="19">SUM(C25:C27)</f>
        <v>5369069.7419862337</v>
      </c>
      <c r="D28" s="13">
        <f t="shared" si="19"/>
        <v>5322874.2581957038</v>
      </c>
      <c r="E28" s="13">
        <f t="shared" si="19"/>
        <v>5572594.1714926399</v>
      </c>
      <c r="F28" s="13">
        <f t="shared" si="19"/>
        <v>5834800.0804544231</v>
      </c>
      <c r="G28" s="13">
        <f t="shared" si="19"/>
        <v>6110116.2848642953</v>
      </c>
      <c r="H28" s="13">
        <f t="shared" si="19"/>
        <v>6399198.2994946586</v>
      </c>
      <c r="I28" s="13">
        <f t="shared" si="19"/>
        <v>6702734.4148565428</v>
      </c>
      <c r="J28" s="13">
        <f t="shared" si="19"/>
        <v>7021447.3359865202</v>
      </c>
      <c r="K28" s="13">
        <f t="shared" si="19"/>
        <v>7356095.9031729959</v>
      </c>
      <c r="L28" s="13">
        <f t="shared" si="19"/>
        <v>7707476.8987187967</v>
      </c>
      <c r="M28" s="13">
        <f t="shared" si="19"/>
        <v>8076426.9440418864</v>
      </c>
    </row>
    <row r="29" spans="1:13" ht="15.75" thickBot="1" x14ac:dyDescent="0.3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25">
      <c r="B30" s="20" t="s">
        <v>7</v>
      </c>
      <c r="C30" s="61">
        <f t="shared" ref="C30:M30" si="20">+C23/C19</f>
        <v>0.68474191150224484</v>
      </c>
      <c r="D30" s="23">
        <f t="shared" si="20"/>
        <v>0.69051610619261394</v>
      </c>
      <c r="E30" s="23">
        <f t="shared" si="20"/>
        <v>0.69601533923106107</v>
      </c>
      <c r="F30" s="23">
        <f t="shared" si="20"/>
        <v>0.70125270402958195</v>
      </c>
      <c r="G30" s="23">
        <f t="shared" si="20"/>
        <v>0.7062406705043639</v>
      </c>
      <c r="H30" s="23">
        <f t="shared" si="20"/>
        <v>0.71099111476606069</v>
      </c>
      <c r="I30" s="23">
        <f t="shared" si="20"/>
        <v>0.71551534739624822</v>
      </c>
      <c r="J30" s="23">
        <f t="shared" si="20"/>
        <v>0.71982414037737941</v>
      </c>
      <c r="K30" s="23">
        <f t="shared" si="20"/>
        <v>0.72392775274036125</v>
      </c>
      <c r="L30" s="23">
        <f t="shared" si="20"/>
        <v>0.72783595499082032</v>
      </c>
      <c r="M30" s="24">
        <f t="shared" si="20"/>
        <v>0.73155805237220972</v>
      </c>
    </row>
    <row r="31" spans="1:13" ht="15.75" thickBot="1" x14ac:dyDescent="0.3">
      <c r="B31" s="21" t="s">
        <v>8</v>
      </c>
      <c r="C31" s="62">
        <f t="shared" ref="C31:M31" si="21">+C25/C19</f>
        <v>0.51355643362668357</v>
      </c>
      <c r="D31" s="26">
        <f t="shared" si="21"/>
        <v>0.5040767575206081</v>
      </c>
      <c r="E31" s="26">
        <f t="shared" si="21"/>
        <v>0.5080911976386745</v>
      </c>
      <c r="F31" s="26">
        <f t="shared" si="21"/>
        <v>0.51191447394159484</v>
      </c>
      <c r="G31" s="26">
        <f t="shared" si="21"/>
        <v>0.51555568946818564</v>
      </c>
      <c r="H31" s="26">
        <f t="shared" si="21"/>
        <v>0.51902351377922429</v>
      </c>
      <c r="I31" s="26">
        <f t="shared" si="21"/>
        <v>0.5223262035992613</v>
      </c>
      <c r="J31" s="26">
        <f t="shared" si="21"/>
        <v>0.52547162247548695</v>
      </c>
      <c r="K31" s="26">
        <f t="shared" si="21"/>
        <v>0.52846725950046369</v>
      </c>
      <c r="L31" s="26">
        <f t="shared" si="21"/>
        <v>0.53132024714329884</v>
      </c>
      <c r="M31" s="27">
        <f t="shared" si="21"/>
        <v>0.53403737823171316</v>
      </c>
    </row>
    <row r="33" spans="1:13" x14ac:dyDescent="0.25">
      <c r="B33" s="1">
        <v>0.05</v>
      </c>
      <c r="C33" s="4">
        <v>1</v>
      </c>
      <c r="D33" s="4">
        <v>2</v>
      </c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</row>
    <row r="34" spans="1:13" x14ac:dyDescent="0.25">
      <c r="A34" s="1" t="s">
        <v>189</v>
      </c>
      <c r="C34" s="4">
        <v>2017</v>
      </c>
      <c r="D34" s="4">
        <v>2018</v>
      </c>
      <c r="E34" s="4">
        <v>2019</v>
      </c>
      <c r="F34" s="4">
        <v>2020</v>
      </c>
      <c r="G34" s="4">
        <v>2021</v>
      </c>
      <c r="H34" s="4">
        <v>2022</v>
      </c>
      <c r="I34" s="4">
        <v>2023</v>
      </c>
      <c r="J34" s="4">
        <v>2024</v>
      </c>
      <c r="K34" s="4">
        <v>2025</v>
      </c>
      <c r="L34" s="4">
        <v>2026</v>
      </c>
      <c r="M34" s="4">
        <v>2027</v>
      </c>
    </row>
    <row r="35" spans="1:13" x14ac:dyDescent="0.25">
      <c r="B35" s="3" t="s">
        <v>1</v>
      </c>
      <c r="C35" s="13">
        <f>+C3*Cifras!$S$35</f>
        <v>15049442.443452192</v>
      </c>
      <c r="D35" s="13">
        <f t="shared" ref="D35:M35" si="22">+C35*(1+$B$1)</f>
        <v>15801914.565624803</v>
      </c>
      <c r="E35" s="13">
        <f t="shared" si="22"/>
        <v>16592010.293906044</v>
      </c>
      <c r="F35" s="13">
        <f t="shared" si="22"/>
        <v>17421610.808601346</v>
      </c>
      <c r="G35" s="13">
        <f t="shared" si="22"/>
        <v>18292691.349031415</v>
      </c>
      <c r="H35" s="13">
        <f t="shared" si="22"/>
        <v>19207325.916482985</v>
      </c>
      <c r="I35" s="13">
        <f t="shared" si="22"/>
        <v>20167692.212307137</v>
      </c>
      <c r="J35" s="13">
        <f t="shared" si="22"/>
        <v>21176076.822922494</v>
      </c>
      <c r="K35" s="13">
        <f t="shared" si="22"/>
        <v>22234880.664068621</v>
      </c>
      <c r="L35" s="13">
        <f t="shared" si="22"/>
        <v>23346624.697272051</v>
      </c>
      <c r="M35" s="13">
        <f t="shared" si="22"/>
        <v>24513955.932135656</v>
      </c>
    </row>
    <row r="36" spans="1:13" x14ac:dyDescent="0.25">
      <c r="B36" s="1" t="s">
        <v>6</v>
      </c>
      <c r="C36" s="13">
        <f>+-C35*Cifras!$S$37</f>
        <v>-376236.06108630484</v>
      </c>
      <c r="D36" s="13">
        <f>+-D35*Cifras!$S$37</f>
        <v>-395047.86414062011</v>
      </c>
      <c r="E36" s="13">
        <f>+-E35*Cifras!$S$37</f>
        <v>-414800.25734765112</v>
      </c>
      <c r="F36" s="13">
        <f>+-F35*Cifras!$S$37</f>
        <v>-435540.27021503367</v>
      </c>
      <c r="G36" s="13">
        <f>+-G35*Cifras!$S$37</f>
        <v>-457317.28372578538</v>
      </c>
      <c r="H36" s="13">
        <f>+-H35*Cifras!$S$37</f>
        <v>-480183.14791207464</v>
      </c>
      <c r="I36" s="13">
        <f>+-I35*Cifras!$S$37</f>
        <v>-504192.30530767841</v>
      </c>
      <c r="J36" s="13">
        <f>+-J35*Cifras!$S$37</f>
        <v>-529401.92057306238</v>
      </c>
      <c r="K36" s="13">
        <f>+-K35*Cifras!$S$37</f>
        <v>-555872.01660171559</v>
      </c>
      <c r="L36" s="13">
        <f>+-L35*Cifras!$S$37</f>
        <v>-583665.61743180128</v>
      </c>
      <c r="M36" s="13">
        <f>+-M35*Cifras!$S$37</f>
        <v>-612848.89830339141</v>
      </c>
    </row>
    <row r="37" spans="1:13" x14ac:dyDescent="0.25">
      <c r="B37" s="1" t="s">
        <v>183</v>
      </c>
      <c r="C37" s="13">
        <f t="shared" ref="C37:M37" si="23">+C5</f>
        <v>-1216577.7490999999</v>
      </c>
      <c r="D37" s="13">
        <f t="shared" si="23"/>
        <v>-1216577.7490999999</v>
      </c>
      <c r="E37" s="13">
        <f t="shared" si="23"/>
        <v>-1216577.7490999999</v>
      </c>
      <c r="F37" s="13">
        <f t="shared" si="23"/>
        <v>-1216577.7490999999</v>
      </c>
      <c r="G37" s="13">
        <f t="shared" si="23"/>
        <v>-1216577.7490999999</v>
      </c>
      <c r="H37" s="13">
        <f t="shared" si="23"/>
        <v>-1216577.7490999999</v>
      </c>
      <c r="I37" s="13">
        <f t="shared" si="23"/>
        <v>-1216577.7490999999</v>
      </c>
      <c r="J37" s="13">
        <f t="shared" si="23"/>
        <v>-1216577.7490999999</v>
      </c>
      <c r="K37" s="13">
        <f t="shared" si="23"/>
        <v>-1216577.7490999999</v>
      </c>
      <c r="L37" s="13">
        <f t="shared" si="23"/>
        <v>-1216577.7490999999</v>
      </c>
      <c r="M37" s="13">
        <f t="shared" si="23"/>
        <v>-1216577.7490999999</v>
      </c>
    </row>
    <row r="38" spans="1:13" ht="15.75" thickBot="1" x14ac:dyDescent="0.3">
      <c r="B38" s="1" t="s">
        <v>185</v>
      </c>
      <c r="C38" s="22">
        <f t="shared" ref="C38:M38" si="24">-C35*0.1*1.19</f>
        <v>-1790883.6507708109</v>
      </c>
      <c r="D38" s="22">
        <f t="shared" si="24"/>
        <v>-1880427.8333093517</v>
      </c>
      <c r="E38" s="22">
        <f t="shared" si="24"/>
        <v>-1974449.2249748192</v>
      </c>
      <c r="F38" s="22">
        <f t="shared" si="24"/>
        <v>-2073171.6862235602</v>
      </c>
      <c r="G38" s="22">
        <f t="shared" si="24"/>
        <v>-2176830.2705347384</v>
      </c>
      <c r="H38" s="22">
        <f t="shared" si="24"/>
        <v>-2285671.7840614752</v>
      </c>
      <c r="I38" s="22">
        <f t="shared" si="24"/>
        <v>-2399955.3732645493</v>
      </c>
      <c r="J38" s="22">
        <f t="shared" si="24"/>
        <v>-2519953.1419277769</v>
      </c>
      <c r="K38" s="22">
        <f t="shared" si="24"/>
        <v>-2645950.7990241661</v>
      </c>
      <c r="L38" s="22">
        <f t="shared" si="24"/>
        <v>-2778248.3389753741</v>
      </c>
      <c r="M38" s="22">
        <f t="shared" si="24"/>
        <v>-2917160.7559241429</v>
      </c>
    </row>
    <row r="39" spans="1:13" ht="15.75" thickTop="1" x14ac:dyDescent="0.25">
      <c r="B39" s="3" t="s">
        <v>9</v>
      </c>
      <c r="C39" s="13">
        <f>SUM(C35:C38)</f>
        <v>11665744.982495077</v>
      </c>
      <c r="D39" s="13">
        <f t="shared" ref="D39" si="25">SUM(D35:D38)</f>
        <v>12309861.119074831</v>
      </c>
      <c r="E39" s="13">
        <f t="shared" ref="E39:M39" si="26">SUM(E35:E38)</f>
        <v>12986183.062483575</v>
      </c>
      <c r="F39" s="13">
        <f t="shared" si="26"/>
        <v>13696321.103062751</v>
      </c>
      <c r="G39" s="13">
        <f t="shared" si="26"/>
        <v>14441966.045670889</v>
      </c>
      <c r="H39" s="13">
        <f t="shared" si="26"/>
        <v>15224893.235409437</v>
      </c>
      <c r="I39" s="13">
        <f t="shared" si="26"/>
        <v>16046966.784634909</v>
      </c>
      <c r="J39" s="13">
        <f t="shared" si="26"/>
        <v>16910144.011321656</v>
      </c>
      <c r="K39" s="13">
        <f t="shared" si="26"/>
        <v>17816480.099342741</v>
      </c>
      <c r="L39" s="13">
        <f t="shared" si="26"/>
        <v>18768132.991764877</v>
      </c>
      <c r="M39" s="13">
        <f t="shared" si="26"/>
        <v>19767368.528808124</v>
      </c>
    </row>
    <row r="40" spans="1:13" ht="15.75" thickBot="1" x14ac:dyDescent="0.3">
      <c r="B40" s="1" t="s">
        <v>186</v>
      </c>
      <c r="C40" s="22">
        <f>-C39*0.25</f>
        <v>-2916436.2456237692</v>
      </c>
      <c r="D40" s="22">
        <f>-D39*0.27</f>
        <v>-3323662.5021502045</v>
      </c>
      <c r="E40" s="22">
        <f>-E39*0.27</f>
        <v>-3506269.4268705654</v>
      </c>
      <c r="F40" s="22">
        <f t="shared" ref="F40" si="27">-F39*0.27</f>
        <v>-3698006.6978269429</v>
      </c>
      <c r="G40" s="22">
        <f t="shared" ref="G40:M40" si="28">-G39*0.27</f>
        <v>-3899330.8323311405</v>
      </c>
      <c r="H40" s="22">
        <f t="shared" si="28"/>
        <v>-4110721.1735605481</v>
      </c>
      <c r="I40" s="22">
        <f t="shared" si="28"/>
        <v>-4332681.0318514258</v>
      </c>
      <c r="J40" s="22">
        <f t="shared" si="28"/>
        <v>-4565738.8830568474</v>
      </c>
      <c r="K40" s="22">
        <f t="shared" si="28"/>
        <v>-4810449.6268225405</v>
      </c>
      <c r="L40" s="22">
        <f t="shared" si="28"/>
        <v>-5067395.9077765169</v>
      </c>
      <c r="M40" s="22">
        <f t="shared" si="28"/>
        <v>-5337189.5027781939</v>
      </c>
    </row>
    <row r="41" spans="1:13" ht="15.75" thickTop="1" x14ac:dyDescent="0.25">
      <c r="B41" s="3" t="s">
        <v>184</v>
      </c>
      <c r="C41" s="13">
        <f t="shared" ref="C41:M41" si="29">+C39+C40</f>
        <v>8749308.7368713077</v>
      </c>
      <c r="D41" s="13">
        <f t="shared" si="29"/>
        <v>8986198.6169246268</v>
      </c>
      <c r="E41" s="13">
        <f t="shared" si="29"/>
        <v>9479913.6356130093</v>
      </c>
      <c r="F41" s="13">
        <f t="shared" si="29"/>
        <v>9998314.4052358083</v>
      </c>
      <c r="G41" s="13">
        <f t="shared" si="29"/>
        <v>10542635.21333975</v>
      </c>
      <c r="H41" s="13">
        <f t="shared" si="29"/>
        <v>11114172.061848888</v>
      </c>
      <c r="I41" s="13">
        <f t="shared" si="29"/>
        <v>11714285.752783483</v>
      </c>
      <c r="J41" s="13">
        <f t="shared" si="29"/>
        <v>12344405.128264809</v>
      </c>
      <c r="K41" s="13">
        <f t="shared" si="29"/>
        <v>13006030.472520201</v>
      </c>
      <c r="L41" s="13">
        <f t="shared" si="29"/>
        <v>13700737.083988361</v>
      </c>
      <c r="M41" s="13">
        <f t="shared" si="29"/>
        <v>14430179.02602993</v>
      </c>
    </row>
    <row r="42" spans="1:13" x14ac:dyDescent="0.25">
      <c r="B42" s="1" t="s">
        <v>183</v>
      </c>
      <c r="C42" s="13">
        <f>-C37</f>
        <v>1216577.7490999999</v>
      </c>
      <c r="D42" s="13">
        <f t="shared" ref="D42:M42" si="30">-D37</f>
        <v>1216577.7490999999</v>
      </c>
      <c r="E42" s="13">
        <f t="shared" si="30"/>
        <v>1216577.7490999999</v>
      </c>
      <c r="F42" s="13">
        <f t="shared" si="30"/>
        <v>1216577.7490999999</v>
      </c>
      <c r="G42" s="13">
        <f t="shared" si="30"/>
        <v>1216577.7490999999</v>
      </c>
      <c r="H42" s="13">
        <f t="shared" si="30"/>
        <v>1216577.7490999999</v>
      </c>
      <c r="I42" s="13">
        <f t="shared" si="30"/>
        <v>1216577.7490999999</v>
      </c>
      <c r="J42" s="13">
        <f t="shared" si="30"/>
        <v>1216577.7490999999</v>
      </c>
      <c r="K42" s="13">
        <f t="shared" si="30"/>
        <v>1216577.7490999999</v>
      </c>
      <c r="L42" s="13">
        <f t="shared" si="30"/>
        <v>1216577.7490999999</v>
      </c>
      <c r="M42" s="13">
        <f t="shared" si="30"/>
        <v>1216577.7490999999</v>
      </c>
    </row>
    <row r="43" spans="1:13" ht="15.75" thickBot="1" x14ac:dyDescent="0.3">
      <c r="B43" s="1" t="s">
        <v>191</v>
      </c>
      <c r="C43" s="22">
        <v>-1000000</v>
      </c>
      <c r="D43" s="22">
        <f t="shared" ref="D43:M43" si="31">-C35*0.08</f>
        <v>-1203955.3954761755</v>
      </c>
      <c r="E43" s="22">
        <f t="shared" si="31"/>
        <v>-1264153.1652499842</v>
      </c>
      <c r="F43" s="22">
        <f t="shared" si="31"/>
        <v>-1327360.8235124836</v>
      </c>
      <c r="G43" s="22">
        <f t="shared" si="31"/>
        <v>-1393728.8646881077</v>
      </c>
      <c r="H43" s="22">
        <f t="shared" si="31"/>
        <v>-1463415.3079225132</v>
      </c>
      <c r="I43" s="22">
        <f t="shared" si="31"/>
        <v>-1536586.0733186388</v>
      </c>
      <c r="J43" s="22">
        <f t="shared" si="31"/>
        <v>-1613415.3769845709</v>
      </c>
      <c r="K43" s="22">
        <f t="shared" si="31"/>
        <v>-1694086.1458337996</v>
      </c>
      <c r="L43" s="22">
        <f t="shared" si="31"/>
        <v>-1778790.4531254896</v>
      </c>
      <c r="M43" s="22">
        <f t="shared" si="31"/>
        <v>-1867729.9757817641</v>
      </c>
    </row>
    <row r="44" spans="1:13" ht="15.75" thickTop="1" x14ac:dyDescent="0.25">
      <c r="B44" s="3" t="s">
        <v>190</v>
      </c>
      <c r="C44" s="13">
        <f t="shared" ref="C44:M44" si="32">SUM(C41:C43)</f>
        <v>8965886.4859713074</v>
      </c>
      <c r="D44" s="13">
        <f t="shared" si="32"/>
        <v>8998820.9705484509</v>
      </c>
      <c r="E44" s="13">
        <f t="shared" si="32"/>
        <v>9432338.2194630243</v>
      </c>
      <c r="F44" s="13">
        <f t="shared" si="32"/>
        <v>9887531.3308233246</v>
      </c>
      <c r="G44" s="13">
        <f t="shared" si="32"/>
        <v>10365484.097751642</v>
      </c>
      <c r="H44" s="13">
        <f t="shared" si="32"/>
        <v>10867334.503026374</v>
      </c>
      <c r="I44" s="13">
        <f t="shared" si="32"/>
        <v>11394277.428564843</v>
      </c>
      <c r="J44" s="13">
        <f t="shared" si="32"/>
        <v>11947567.500380239</v>
      </c>
      <c r="K44" s="13">
        <f t="shared" si="32"/>
        <v>12528522.075786401</v>
      </c>
      <c r="L44" s="13">
        <f t="shared" si="32"/>
        <v>13138524.379962871</v>
      </c>
      <c r="M44" s="13">
        <f t="shared" si="32"/>
        <v>13779026.799348164</v>
      </c>
    </row>
    <row r="45" spans="1:13" ht="15.75" thickBot="1" x14ac:dyDescent="0.3">
      <c r="B45" s="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5">
      <c r="B46" s="20" t="s">
        <v>7</v>
      </c>
      <c r="C46" s="61">
        <f t="shared" ref="C46:M46" si="33">+C39/C35</f>
        <v>0.77516127433482984</v>
      </c>
      <c r="D46" s="23">
        <f t="shared" si="33"/>
        <v>0.77901073746174265</v>
      </c>
      <c r="E46" s="23">
        <f t="shared" si="33"/>
        <v>0.7826768928207074</v>
      </c>
      <c r="F46" s="23">
        <f t="shared" si="33"/>
        <v>0.78616846935305451</v>
      </c>
      <c r="G46" s="23">
        <f t="shared" si="33"/>
        <v>0.7894937803362424</v>
      </c>
      <c r="H46" s="23">
        <f t="shared" si="33"/>
        <v>0.79266074317737389</v>
      </c>
      <c r="I46" s="23">
        <f t="shared" si="33"/>
        <v>0.79567689826416554</v>
      </c>
      <c r="J46" s="23">
        <f t="shared" si="33"/>
        <v>0.79854942691825292</v>
      </c>
      <c r="K46" s="23">
        <f t="shared" si="33"/>
        <v>0.80128516849357423</v>
      </c>
      <c r="L46" s="23">
        <f t="shared" si="33"/>
        <v>0.80389063666054694</v>
      </c>
      <c r="M46" s="24">
        <f t="shared" si="33"/>
        <v>0.80637203491480658</v>
      </c>
    </row>
    <row r="47" spans="1:13" ht="15.75" thickBot="1" x14ac:dyDescent="0.3">
      <c r="B47" s="21" t="s">
        <v>8</v>
      </c>
      <c r="C47" s="62">
        <f t="shared" ref="C47:M47" si="34">+C41/C35</f>
        <v>0.58137095575112241</v>
      </c>
      <c r="D47" s="26">
        <f t="shared" si="34"/>
        <v>0.5686778383470722</v>
      </c>
      <c r="E47" s="26">
        <f t="shared" si="34"/>
        <v>0.57135413175911642</v>
      </c>
      <c r="F47" s="26">
        <f t="shared" si="34"/>
        <v>0.57390298262772987</v>
      </c>
      <c r="G47" s="26">
        <f t="shared" si="34"/>
        <v>0.57633045964545693</v>
      </c>
      <c r="H47" s="26">
        <f t="shared" si="34"/>
        <v>0.57864234251948288</v>
      </c>
      <c r="I47" s="26">
        <f t="shared" si="34"/>
        <v>0.58084413573284077</v>
      </c>
      <c r="J47" s="26">
        <f t="shared" si="34"/>
        <v>0.58294108165032466</v>
      </c>
      <c r="K47" s="26">
        <f t="shared" si="34"/>
        <v>0.58493817300030915</v>
      </c>
      <c r="L47" s="26">
        <f t="shared" si="34"/>
        <v>0.58684016476219925</v>
      </c>
      <c r="M47" s="27">
        <f t="shared" si="34"/>
        <v>0.58865158548780883</v>
      </c>
    </row>
    <row r="48" spans="1:13" ht="15.75" thickBot="1" x14ac:dyDescent="0.3"/>
    <row r="49" spans="2:13" ht="15.75" thickBot="1" x14ac:dyDescent="0.3">
      <c r="C49" s="64" t="s">
        <v>181</v>
      </c>
      <c r="G49" s="64" t="s">
        <v>180</v>
      </c>
      <c r="K49" s="64" t="s">
        <v>179</v>
      </c>
    </row>
    <row r="50" spans="2:13" x14ac:dyDescent="0.25">
      <c r="C50" s="31" t="s">
        <v>192</v>
      </c>
      <c r="D50" s="152">
        <f>+NPV(Cifras!T25,'Proyecto Puro'!C53:C63)+C64*(1+B1)/(Cifras!R26-'Proyecto Puro'!B1)</f>
        <v>27059137.219023973</v>
      </c>
      <c r="G50" s="31" t="s">
        <v>192</v>
      </c>
      <c r="H50" s="63">
        <f>+NPV(Cifras!T25,'Proyecto Puro'!G53:G63)+G64*(1+B1)/(Cifras!R26-'Proyecto Puro'!B1)</f>
        <v>-37829902.971687198</v>
      </c>
      <c r="K50" s="31" t="s">
        <v>192</v>
      </c>
      <c r="L50" s="63">
        <f>+NPV(Cifras!T25,'Proyecto Puro'!K53:K63)+K64*(1+B1)/(Cifras!R26-'Proyecto Puro'!B1)</f>
        <v>46836655.175872594</v>
      </c>
      <c r="M50" s="63">
        <f>+AVERAGE(L50,H50,D50)</f>
        <v>12021963.14106979</v>
      </c>
    </row>
    <row r="51" spans="2:13" x14ac:dyDescent="0.25">
      <c r="C51" s="31" t="s">
        <v>197</v>
      </c>
      <c r="D51" s="65">
        <f>+MIRR(C53:C64,Cifras!T28,Cifras!T19)</f>
        <v>-1.7303861917180363E-2</v>
      </c>
      <c r="G51" s="31" t="s">
        <v>197</v>
      </c>
      <c r="H51" s="65">
        <f>+MIRR(G53:G64,Cifras!T28,Cifras!T19)</f>
        <v>-5.3600285909788381E-2</v>
      </c>
      <c r="K51" s="31" t="s">
        <v>197</v>
      </c>
      <c r="L51" s="65">
        <f>+MIRR(K53:K64,Cifras!T28,Cifras!T19)</f>
        <v>-8.4095166843168867E-3</v>
      </c>
    </row>
    <row r="52" spans="2:13" x14ac:dyDescent="0.25">
      <c r="C52" s="31" t="s">
        <v>282</v>
      </c>
      <c r="D52" s="65">
        <f>+IRR(C53:C64,0.1)</f>
        <v>-9.0088338354582631E-2</v>
      </c>
      <c r="E52" s="151"/>
      <c r="G52" s="31" t="s">
        <v>282</v>
      </c>
      <c r="H52" s="65">
        <f>+IRR(G53:G64,0.1)</f>
        <v>-0.13866553807164994</v>
      </c>
      <c r="K52" s="31" t="s">
        <v>282</v>
      </c>
      <c r="L52" s="65">
        <f>+IRR(K53:K64,0.1)</f>
        <v>-7.7458213829373235E-2</v>
      </c>
    </row>
    <row r="53" spans="2:13" x14ac:dyDescent="0.25">
      <c r="B53" s="1">
        <v>2016</v>
      </c>
      <c r="C53" s="32">
        <f>-Cifras!D6</f>
        <v>-182486662.36500001</v>
      </c>
      <c r="E53" s="32"/>
      <c r="F53" s="1">
        <v>2016</v>
      </c>
      <c r="G53" s="32">
        <f>+C53</f>
        <v>-182486662.36500001</v>
      </c>
      <c r="J53" s="1">
        <v>2016</v>
      </c>
      <c r="K53" s="32">
        <f>+G53</f>
        <v>-182486662.36500001</v>
      </c>
    </row>
    <row r="54" spans="2:13" x14ac:dyDescent="0.25">
      <c r="B54" s="1">
        <v>2017</v>
      </c>
      <c r="C54" s="32">
        <v>7120448.6063429797</v>
      </c>
      <c r="E54" s="32"/>
      <c r="F54" s="1">
        <v>2017</v>
      </c>
      <c r="G54" s="32">
        <v>4602306.2165000001</v>
      </c>
      <c r="J54" s="1">
        <v>2017</v>
      </c>
      <c r="K54" s="32">
        <v>7653456.6964999996</v>
      </c>
    </row>
    <row r="55" spans="2:13" x14ac:dyDescent="0.25">
      <c r="B55" s="1">
        <v>2018</v>
      </c>
      <c r="C55" s="32">
        <v>7062618.6494234595</v>
      </c>
      <c r="E55" s="32"/>
      <c r="F55" s="1">
        <v>2018</v>
      </c>
      <c r="G55" s="32">
        <v>4730785.1501399996</v>
      </c>
      <c r="J55" s="1">
        <v>2018</v>
      </c>
      <c r="K55" s="32">
        <v>7849060.9407000002</v>
      </c>
    </row>
    <row r="56" spans="2:13" x14ac:dyDescent="0.25">
      <c r="B56" s="1">
        <v>2019</v>
      </c>
      <c r="C56" s="32">
        <v>7399325.7822817899</v>
      </c>
      <c r="E56" s="32"/>
      <c r="F56" s="1">
        <v>2019</v>
      </c>
      <c r="G56" s="32">
        <v>4942620.5277960002</v>
      </c>
      <c r="I56" s="19"/>
      <c r="J56" s="1">
        <v>2019</v>
      </c>
      <c r="K56" s="32">
        <v>8216810.1078840001</v>
      </c>
    </row>
    <row r="57" spans="2:13" x14ac:dyDescent="0.25">
      <c r="B57" s="1">
        <v>2020</v>
      </c>
      <c r="C57" s="32">
        <v>7752868.2717830297</v>
      </c>
      <c r="E57" s="32"/>
      <c r="F57" s="1">
        <v>2020</v>
      </c>
      <c r="G57" s="32">
        <v>5165047.6743348017</v>
      </c>
      <c r="I57" s="13"/>
      <c r="J57" s="1">
        <v>2020</v>
      </c>
      <c r="K57" s="32">
        <v>8602946.7334271986</v>
      </c>
    </row>
    <row r="58" spans="2:13" x14ac:dyDescent="0.25">
      <c r="B58" s="1">
        <v>2021</v>
      </c>
      <c r="C58" s="32">
        <v>8124087.8857593304</v>
      </c>
      <c r="E58" s="32"/>
      <c r="F58" s="1">
        <v>2021</v>
      </c>
      <c r="G58" s="32">
        <v>5398596.1782005401</v>
      </c>
      <c r="I58" s="13"/>
      <c r="J58" s="1">
        <v>2021</v>
      </c>
      <c r="K58" s="32">
        <v>9008390.1902475618</v>
      </c>
    </row>
    <row r="59" spans="2:13" x14ac:dyDescent="0.25">
      <c r="B59" s="1">
        <v>2022</v>
      </c>
      <c r="C59" s="32">
        <v>8513868.4804344401</v>
      </c>
      <c r="E59" s="32"/>
      <c r="F59" s="1">
        <v>2022</v>
      </c>
      <c r="G59" s="32">
        <v>5643822.1072595697</v>
      </c>
      <c r="I59" s="13"/>
      <c r="J59" s="1">
        <v>2022</v>
      </c>
      <c r="K59" s="32">
        <v>9434105.8199089393</v>
      </c>
    </row>
    <row r="60" spans="2:13" x14ac:dyDescent="0.25">
      <c r="B60" s="1">
        <v>2023</v>
      </c>
      <c r="C60" s="32">
        <v>8923138.1048433203</v>
      </c>
      <c r="E60" s="32"/>
      <c r="F60" s="1">
        <v>2023</v>
      </c>
      <c r="G60" s="32">
        <v>5901309.3327715499</v>
      </c>
      <c r="I60" s="13"/>
      <c r="J60" s="1">
        <v>2023</v>
      </c>
      <c r="K60" s="32">
        <v>9881107.2310533859</v>
      </c>
    </row>
    <row r="61" spans="2:13" x14ac:dyDescent="0.25">
      <c r="B61" s="1">
        <v>2024</v>
      </c>
      <c r="C61" s="32">
        <v>9352871.2104726303</v>
      </c>
      <c r="E61" s="32"/>
      <c r="F61" s="1">
        <v>2024</v>
      </c>
      <c r="G61" s="32">
        <v>6171670.9195591202</v>
      </c>
      <c r="I61" s="13"/>
      <c r="J61" s="1">
        <v>2024</v>
      </c>
      <c r="K61" s="32">
        <v>10350458.712755056</v>
      </c>
    </row>
    <row r="62" spans="2:13" x14ac:dyDescent="0.25">
      <c r="B62" s="1">
        <v>2025</v>
      </c>
      <c r="C62" s="32">
        <v>9804090.9713834208</v>
      </c>
      <c r="E62" s="32"/>
      <c r="F62" s="1">
        <v>2025</v>
      </c>
      <c r="G62" s="32">
        <v>6455550.5856860802</v>
      </c>
      <c r="I62" s="13"/>
      <c r="J62" s="1">
        <v>2025</v>
      </c>
      <c r="K62" s="32">
        <v>10843277.768541809</v>
      </c>
    </row>
    <row r="63" spans="2:13" x14ac:dyDescent="0.25">
      <c r="B63" s="1">
        <v>2026</v>
      </c>
      <c r="C63" s="32">
        <v>10277871.720339736</v>
      </c>
      <c r="E63" s="32"/>
      <c r="F63" s="1">
        <v>2026</v>
      </c>
      <c r="G63" s="32">
        <v>6753624.2351193801</v>
      </c>
      <c r="I63" s="13"/>
      <c r="J63" s="1">
        <v>2026</v>
      </c>
      <c r="K63" s="32">
        <v>11360737.777117901</v>
      </c>
    </row>
    <row r="64" spans="2:13" x14ac:dyDescent="0.25">
      <c r="B64" s="17" t="s">
        <v>193</v>
      </c>
      <c r="C64" s="32">
        <v>10775341.5067439</v>
      </c>
      <c r="F64" s="17" t="s">
        <v>193</v>
      </c>
      <c r="G64" s="32">
        <v>7066601.5670243502</v>
      </c>
      <c r="I64" s="13"/>
      <c r="J64" s="17" t="s">
        <v>193</v>
      </c>
      <c r="K64" s="32">
        <v>11904070.786122799</v>
      </c>
    </row>
    <row r="65" spans="3:11" x14ac:dyDescent="0.25">
      <c r="C65" s="13"/>
    </row>
    <row r="66" spans="3:11" x14ac:dyDescent="0.25">
      <c r="C66" s="13"/>
    </row>
    <row r="69" spans="3:11" x14ac:dyDescent="0.25">
      <c r="E69" s="32"/>
      <c r="G69" s="32"/>
      <c r="K69" s="32"/>
    </row>
    <row r="70" spans="3:11" x14ac:dyDescent="0.25">
      <c r="E70" s="32"/>
      <c r="G70" s="32"/>
      <c r="K70" s="32"/>
    </row>
    <row r="71" spans="3:11" x14ac:dyDescent="0.25">
      <c r="E71" s="32"/>
      <c r="G71" s="32"/>
      <c r="K71" s="32"/>
    </row>
    <row r="72" spans="3:11" x14ac:dyDescent="0.25">
      <c r="E72" s="32"/>
      <c r="G72" s="32"/>
      <c r="K72" s="32"/>
    </row>
    <row r="73" spans="3:11" x14ac:dyDescent="0.25">
      <c r="E73" s="32"/>
      <c r="G73" s="32"/>
      <c r="K73" s="32"/>
    </row>
    <row r="74" spans="3:11" x14ac:dyDescent="0.25">
      <c r="F74" s="17"/>
      <c r="G74" s="32"/>
      <c r="J74" s="17"/>
      <c r="K74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5"/>
  <sheetViews>
    <sheetView zoomScale="80" zoomScaleNormal="80" workbookViewId="0">
      <selection activeCell="G18" sqref="G18"/>
    </sheetView>
  </sheetViews>
  <sheetFormatPr baseColWidth="10" defaultRowHeight="15" x14ac:dyDescent="0.25"/>
  <cols>
    <col min="1" max="1" width="10.85546875" style="1" bestFit="1" customWidth="1"/>
    <col min="2" max="2" width="34" style="1" customWidth="1"/>
    <col min="3" max="3" width="15.28515625" style="1" customWidth="1"/>
    <col min="4" max="4" width="16" style="1" bestFit="1" customWidth="1"/>
    <col min="5" max="5" width="10.85546875" style="1" bestFit="1" customWidth="1"/>
    <col min="6" max="6" width="11.5703125" style="1" customWidth="1"/>
    <col min="7" max="7" width="15.28515625" style="1" bestFit="1" customWidth="1"/>
    <col min="8" max="8" width="16" style="1" bestFit="1" customWidth="1"/>
    <col min="9" max="9" width="11.5703125" style="1" bestFit="1" customWidth="1"/>
    <col min="10" max="10" width="13.140625" style="1" bestFit="1" customWidth="1"/>
    <col min="11" max="11" width="15.28515625" style="1" customWidth="1"/>
    <col min="12" max="12" width="15.28515625" style="1" bestFit="1" customWidth="1"/>
    <col min="13" max="13" width="11.140625" style="1" customWidth="1"/>
    <col min="14" max="14" width="15.28515625" style="1" bestFit="1" customWidth="1"/>
    <col min="15" max="16384" width="11.42578125" style="1"/>
  </cols>
  <sheetData>
    <row r="1" spans="1:13" x14ac:dyDescent="0.25">
      <c r="B1" s="1">
        <v>0.05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</row>
    <row r="2" spans="1:13" x14ac:dyDescent="0.25">
      <c r="A2" s="1" t="s">
        <v>188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  <c r="H2" s="4">
        <v>2022</v>
      </c>
      <c r="I2" s="4">
        <v>2023</v>
      </c>
      <c r="J2" s="4">
        <v>2024</v>
      </c>
      <c r="K2" s="4">
        <v>2025</v>
      </c>
      <c r="L2" s="4">
        <v>2026</v>
      </c>
      <c r="M2" s="4">
        <v>2027</v>
      </c>
    </row>
    <row r="3" spans="1:13" x14ac:dyDescent="0.25">
      <c r="B3" s="3" t="s">
        <v>1</v>
      </c>
      <c r="C3" s="13">
        <f>+Cifras!P12</f>
        <v>12541202.036210161</v>
      </c>
      <c r="D3" s="13">
        <f>+C3*(1+$B$1)</f>
        <v>13168262.13802067</v>
      </c>
      <c r="E3" s="13">
        <f>+D3*(1+$B$1)</f>
        <v>13826675.244921705</v>
      </c>
      <c r="F3" s="13">
        <f>+E3*(1+$B$1)</f>
        <v>14518009.00716779</v>
      </c>
      <c r="G3" s="13">
        <f t="shared" ref="G3:K3" si="0">+F3*(1+$B$1)</f>
        <v>15243909.457526181</v>
      </c>
      <c r="H3" s="13">
        <f t="shared" si="0"/>
        <v>16006104.930402491</v>
      </c>
      <c r="I3" s="13">
        <f t="shared" si="0"/>
        <v>16806410.176922616</v>
      </c>
      <c r="J3" s="13">
        <f t="shared" si="0"/>
        <v>17646730.685768746</v>
      </c>
      <c r="K3" s="13">
        <f t="shared" si="0"/>
        <v>18529067.220057186</v>
      </c>
      <c r="L3" s="13">
        <f>+K3*(1+$B$1)</f>
        <v>19455520.581060044</v>
      </c>
      <c r="M3" s="13">
        <f>+L3*(1+$B$1)</f>
        <v>20428296.610113047</v>
      </c>
    </row>
    <row r="4" spans="1:13" x14ac:dyDescent="0.25">
      <c r="B4" s="1" t="s">
        <v>6</v>
      </c>
      <c r="C4" s="13">
        <f>-Negocio!$D$8*'Proyecto Financiado'!C3</f>
        <v>-627060.10181050806</v>
      </c>
      <c r="D4" s="13">
        <f>-Negocio!$D$8*'Proyecto Financiado'!D3</f>
        <v>-658413.10690103355</v>
      </c>
      <c r="E4" s="13">
        <f>-Negocio!$D$8*'Proyecto Financiado'!E3</f>
        <v>-691333.76224608533</v>
      </c>
      <c r="F4" s="13">
        <f>-Negocio!$D$8*'Proyecto Financiado'!F3</f>
        <v>-725900.45035838953</v>
      </c>
      <c r="G4" s="13">
        <f>-Negocio!$D$8*'Proyecto Financiado'!G3</f>
        <v>-762195.47287630907</v>
      </c>
      <c r="H4" s="13">
        <f>-Negocio!$D$8*'Proyecto Financiado'!H3</f>
        <v>-800305.24652012461</v>
      </c>
      <c r="I4" s="13">
        <f>-Negocio!$D$8*'Proyecto Financiado'!I3</f>
        <v>-840320.5088461308</v>
      </c>
      <c r="J4" s="13">
        <f>-Negocio!$D$8*'Proyecto Financiado'!J3</f>
        <v>-882336.53428843734</v>
      </c>
      <c r="K4" s="13">
        <f>-Negocio!$D$8*'Proyecto Financiado'!K3</f>
        <v>-926453.36100285931</v>
      </c>
      <c r="L4" s="13">
        <f>-Negocio!$D$8*'Proyecto Financiado'!L3</f>
        <v>-972776.02905300225</v>
      </c>
      <c r="M4" s="13">
        <f>-Negocio!$D$8*'Proyecto Financiado'!M3</f>
        <v>-1021414.8305056524</v>
      </c>
    </row>
    <row r="5" spans="1:13" x14ac:dyDescent="0.25">
      <c r="B5" s="1" t="s">
        <v>183</v>
      </c>
      <c r="C5" s="13">
        <f>-Cifras!S52</f>
        <v>-1216577.7490999999</v>
      </c>
      <c r="D5" s="13">
        <f>-Cifras!T52</f>
        <v>-1216577.7490999999</v>
      </c>
      <c r="E5" s="13">
        <f>-Cifras!U52</f>
        <v>-1216577.7490999999</v>
      </c>
      <c r="F5" s="13">
        <f>-Cifras!V52</f>
        <v>-1216577.7490999999</v>
      </c>
      <c r="G5" s="13">
        <f>-Cifras!W52</f>
        <v>-1216577.7490999999</v>
      </c>
      <c r="H5" s="13">
        <f>-Cifras!X52</f>
        <v>-1216577.7490999999</v>
      </c>
      <c r="I5" s="13">
        <f>-Cifras!Y52</f>
        <v>-1216577.7490999999</v>
      </c>
      <c r="J5" s="13">
        <f>-Cifras!Z52</f>
        <v>-1216577.7490999999</v>
      </c>
      <c r="K5" s="13">
        <f>-Cifras!AA52</f>
        <v>-1216577.7490999999</v>
      </c>
      <c r="L5" s="13">
        <f>-Cifras!AB52</f>
        <v>-1216577.7490999999</v>
      </c>
      <c r="M5" s="13">
        <f>-Cifras!AC52</f>
        <v>-1216577.7490999999</v>
      </c>
    </row>
    <row r="6" spans="1:13" ht="15.75" thickBot="1" x14ac:dyDescent="0.3">
      <c r="B6" s="1" t="s">
        <v>185</v>
      </c>
      <c r="C6" s="22">
        <f>-C3*0.1*1.19</f>
        <v>-1492403.042309009</v>
      </c>
      <c r="D6" s="22">
        <f t="shared" ref="D6:M6" si="1">-D3*0.1*1.19</f>
        <v>-1567023.1944244597</v>
      </c>
      <c r="E6" s="22">
        <f t="shared" si="1"/>
        <v>-1645374.3541456831</v>
      </c>
      <c r="F6" s="22">
        <f t="shared" si="1"/>
        <v>-1727643.0718529669</v>
      </c>
      <c r="G6" s="22">
        <f t="shared" si="1"/>
        <v>-1814025.2254456156</v>
      </c>
      <c r="H6" s="22">
        <f t="shared" si="1"/>
        <v>-1904726.4867178965</v>
      </c>
      <c r="I6" s="22">
        <f t="shared" si="1"/>
        <v>-1999962.8110537913</v>
      </c>
      <c r="J6" s="22">
        <f t="shared" si="1"/>
        <v>-2099960.9516064809</v>
      </c>
      <c r="K6" s="22">
        <f t="shared" si="1"/>
        <v>-2204958.999186805</v>
      </c>
      <c r="L6" s="22">
        <f>-L3*0.1*1.19</f>
        <v>-2315206.949146145</v>
      </c>
      <c r="M6" s="22">
        <f t="shared" si="1"/>
        <v>-2430967.2966034524</v>
      </c>
    </row>
    <row r="7" spans="1:13" ht="15.75" thickTop="1" x14ac:dyDescent="0.25">
      <c r="B7" s="3" t="s">
        <v>9</v>
      </c>
      <c r="C7" s="13">
        <f>SUM(C3:C6)</f>
        <v>9205161.142990645</v>
      </c>
      <c r="D7" s="13">
        <f t="shared" ref="D7:M7" si="2">SUM(D3:D6)</f>
        <v>9726248.0875951778</v>
      </c>
      <c r="E7" s="13">
        <f t="shared" si="2"/>
        <v>10273389.379429936</v>
      </c>
      <c r="F7" s="13">
        <f t="shared" si="2"/>
        <v>10847887.735856434</v>
      </c>
      <c r="G7" s="13">
        <f t="shared" si="2"/>
        <v>11451111.010104258</v>
      </c>
      <c r="H7" s="13">
        <f t="shared" si="2"/>
        <v>12084495.448064471</v>
      </c>
      <c r="I7" s="13">
        <f t="shared" si="2"/>
        <v>12749549.107922694</v>
      </c>
      <c r="J7" s="13">
        <f t="shared" si="2"/>
        <v>13447855.450773828</v>
      </c>
      <c r="K7" s="13">
        <f t="shared" si="2"/>
        <v>14181077.110767523</v>
      </c>
      <c r="L7" s="13">
        <f>SUM(L3:L6)</f>
        <v>14950959.853760898</v>
      </c>
      <c r="M7" s="13">
        <f t="shared" si="2"/>
        <v>15759336.733903941</v>
      </c>
    </row>
    <row r="8" spans="1:13" ht="15.75" thickBot="1" x14ac:dyDescent="0.3">
      <c r="B8" s="66" t="s">
        <v>194</v>
      </c>
      <c r="C8" s="22">
        <v>-5824341.2304912154</v>
      </c>
      <c r="D8" s="22">
        <v>-5368893.9599925354</v>
      </c>
      <c r="E8" s="22">
        <v>-4882877.0208443105</v>
      </c>
      <c r="F8" s="22">
        <v>-4364238.573674839</v>
      </c>
      <c r="G8" s="22">
        <v>-3810789.0594382063</v>
      </c>
      <c r="H8" s="22">
        <v>-3220191.9556552796</v>
      </c>
      <c r="I8" s="22">
        <v>-2589953.9122126289</v>
      </c>
      <c r="J8" s="22">
        <v>-1917414.2250752326</v>
      </c>
      <c r="K8" s="22">
        <v>-1199733.6034736831</v>
      </c>
      <c r="L8" s="22">
        <v>-433882.18314380437</v>
      </c>
      <c r="M8" s="22">
        <v>-8.4679715656759727E-10</v>
      </c>
    </row>
    <row r="9" spans="1:13" ht="15.75" thickTop="1" x14ac:dyDescent="0.25">
      <c r="B9" s="3" t="s">
        <v>195</v>
      </c>
      <c r="C9" s="13">
        <f t="shared" ref="C9:M9" si="3">SUM(C7:C8)</f>
        <v>3380819.9124994297</v>
      </c>
      <c r="D9" s="13">
        <f t="shared" si="3"/>
        <v>4357354.1276026424</v>
      </c>
      <c r="E9" s="13">
        <f t="shared" si="3"/>
        <v>5390512.3585856259</v>
      </c>
      <c r="F9" s="13">
        <f t="shared" si="3"/>
        <v>6483649.1621815953</v>
      </c>
      <c r="G9" s="13">
        <f t="shared" si="3"/>
        <v>7640321.9506660514</v>
      </c>
      <c r="H9" s="13">
        <f t="shared" si="3"/>
        <v>8864303.492409192</v>
      </c>
      <c r="I9" s="13">
        <f t="shared" si="3"/>
        <v>10159595.195710065</v>
      </c>
      <c r="J9" s="13">
        <f t="shared" si="3"/>
        <v>11530441.225698596</v>
      </c>
      <c r="K9" s="13">
        <f t="shared" si="3"/>
        <v>12981343.507293839</v>
      </c>
      <c r="L9" s="13">
        <f t="shared" si="3"/>
        <v>14517077.670617094</v>
      </c>
      <c r="M9" s="13">
        <f t="shared" si="3"/>
        <v>15759336.733903941</v>
      </c>
    </row>
    <row r="10" spans="1:13" ht="15.75" thickBot="1" x14ac:dyDescent="0.3">
      <c r="B10" s="1" t="s">
        <v>186</v>
      </c>
      <c r="C10" s="22">
        <f>-C9*0.25</f>
        <v>-845204.97812485741</v>
      </c>
      <c r="D10" s="22">
        <f t="shared" ref="D10:M10" si="4">-D9*0.27</f>
        <v>-1176485.6144527136</v>
      </c>
      <c r="E10" s="22">
        <f t="shared" si="4"/>
        <v>-1455438.336818119</v>
      </c>
      <c r="F10" s="22">
        <f t="shared" si="4"/>
        <v>-1750585.273789031</v>
      </c>
      <c r="G10" s="22">
        <f t="shared" si="4"/>
        <v>-2062886.926679834</v>
      </c>
      <c r="H10" s="22">
        <f t="shared" si="4"/>
        <v>-2393361.942950482</v>
      </c>
      <c r="I10" s="22">
        <f t="shared" si="4"/>
        <v>-2743090.7028417177</v>
      </c>
      <c r="J10" s="22">
        <f t="shared" si="4"/>
        <v>-3113219.1309386212</v>
      </c>
      <c r="K10" s="22">
        <f t="shared" si="4"/>
        <v>-3504962.7469693366</v>
      </c>
      <c r="L10" s="22">
        <f t="shared" si="4"/>
        <v>-3919610.9710666155</v>
      </c>
      <c r="M10" s="22">
        <f t="shared" si="4"/>
        <v>-4255020.9181540646</v>
      </c>
    </row>
    <row r="11" spans="1:13" ht="15.75" thickTop="1" x14ac:dyDescent="0.25">
      <c r="B11" s="3" t="s">
        <v>184</v>
      </c>
      <c r="C11" s="13">
        <f t="shared" ref="C11:M11" si="5">+SUM(C9:C10)</f>
        <v>2535614.9343745722</v>
      </c>
      <c r="D11" s="13">
        <f t="shared" si="5"/>
        <v>3180868.5131499288</v>
      </c>
      <c r="E11" s="13">
        <f t="shared" si="5"/>
        <v>3935074.0217675068</v>
      </c>
      <c r="F11" s="13">
        <f t="shared" si="5"/>
        <v>4733063.8883925639</v>
      </c>
      <c r="G11" s="13">
        <f t="shared" si="5"/>
        <v>5577435.0239862176</v>
      </c>
      <c r="H11" s="13">
        <f t="shared" si="5"/>
        <v>6470941.5494587105</v>
      </c>
      <c r="I11" s="13">
        <f t="shared" si="5"/>
        <v>7416504.4928683471</v>
      </c>
      <c r="J11" s="13">
        <f t="shared" si="5"/>
        <v>8417222.0947599746</v>
      </c>
      <c r="K11" s="13">
        <f t="shared" si="5"/>
        <v>9476380.7603245024</v>
      </c>
      <c r="L11" s="13">
        <f t="shared" si="5"/>
        <v>10597466.69955048</v>
      </c>
      <c r="M11" s="13">
        <f t="shared" si="5"/>
        <v>11504315.815749876</v>
      </c>
    </row>
    <row r="12" spans="1:13" x14ac:dyDescent="0.25">
      <c r="B12" s="1" t="s">
        <v>183</v>
      </c>
      <c r="C12" s="13">
        <f t="shared" ref="C12:M12" si="6">-C5</f>
        <v>1216577.7490999999</v>
      </c>
      <c r="D12" s="13">
        <f t="shared" si="6"/>
        <v>1216577.7490999999</v>
      </c>
      <c r="E12" s="13">
        <f t="shared" si="6"/>
        <v>1216577.7490999999</v>
      </c>
      <c r="F12" s="13">
        <f t="shared" si="6"/>
        <v>1216577.7490999999</v>
      </c>
      <c r="G12" s="13">
        <f t="shared" si="6"/>
        <v>1216577.7490999999</v>
      </c>
      <c r="H12" s="13">
        <f t="shared" si="6"/>
        <v>1216577.7490999999</v>
      </c>
      <c r="I12" s="13">
        <f t="shared" si="6"/>
        <v>1216577.7490999999</v>
      </c>
      <c r="J12" s="13">
        <f t="shared" si="6"/>
        <v>1216577.7490999999</v>
      </c>
      <c r="K12" s="13">
        <f t="shared" si="6"/>
        <v>1216577.7490999999</v>
      </c>
      <c r="L12" s="13">
        <f t="shared" si="6"/>
        <v>1216577.7490999999</v>
      </c>
      <c r="M12" s="13">
        <f t="shared" si="6"/>
        <v>1216577.7490999999</v>
      </c>
    </row>
    <row r="13" spans="1:13" x14ac:dyDescent="0.25">
      <c r="B13" s="1" t="s">
        <v>196</v>
      </c>
      <c r="C13" s="13">
        <v>-6785556.5784089398</v>
      </c>
      <c r="D13" s="13">
        <v>-7241003.8489076206</v>
      </c>
      <c r="E13" s="13">
        <v>-7727020.7880558455</v>
      </c>
      <c r="F13" s="13">
        <v>-8245659.2352253161</v>
      </c>
      <c r="G13" s="13">
        <v>-8799108.7494619507</v>
      </c>
      <c r="H13" s="13">
        <v>-9389705.8532448802</v>
      </c>
      <c r="I13" s="13">
        <v>-10019943.8966875</v>
      </c>
      <c r="J13" s="13">
        <v>-10692483.583824901</v>
      </c>
      <c r="K13" s="13">
        <v>-11410164.205426499</v>
      </c>
      <c r="L13" s="13">
        <v>-12176015.6257564</v>
      </c>
      <c r="M13" s="13">
        <v>-1050824.8174083501</v>
      </c>
    </row>
    <row r="14" spans="1:13" ht="15.75" thickBot="1" x14ac:dyDescent="0.3">
      <c r="B14" s="1" t="s">
        <v>191</v>
      </c>
      <c r="C14" s="22">
        <v>-1000000</v>
      </c>
      <c r="D14" s="22">
        <f t="shared" ref="D14:M14" si="7">-C3*0.1</f>
        <v>-1254120.2036210161</v>
      </c>
      <c r="E14" s="22">
        <f t="shared" si="7"/>
        <v>-1316826.2138020671</v>
      </c>
      <c r="F14" s="22">
        <f t="shared" si="7"/>
        <v>-1382667.5244921707</v>
      </c>
      <c r="G14" s="22">
        <f t="shared" si="7"/>
        <v>-1451800.9007167791</v>
      </c>
      <c r="H14" s="22">
        <f t="shared" si="7"/>
        <v>-1524390.9457526181</v>
      </c>
      <c r="I14" s="22">
        <f t="shared" si="7"/>
        <v>-1600610.4930402492</v>
      </c>
      <c r="J14" s="22">
        <f t="shared" si="7"/>
        <v>-1680641.0176922616</v>
      </c>
      <c r="K14" s="22">
        <f t="shared" si="7"/>
        <v>-1764673.0685768747</v>
      </c>
      <c r="L14" s="22">
        <f t="shared" si="7"/>
        <v>-1852906.7220057186</v>
      </c>
      <c r="M14" s="22">
        <f t="shared" si="7"/>
        <v>-1945552.0581060045</v>
      </c>
    </row>
    <row r="15" spans="1:13" ht="15.75" thickTop="1" x14ac:dyDescent="0.25">
      <c r="B15" s="3" t="s">
        <v>190</v>
      </c>
      <c r="C15" s="13">
        <f t="shared" ref="C15:M15" si="8">SUM(C11:C14)</f>
        <v>-4033363.8949343674</v>
      </c>
      <c r="D15" s="13">
        <f t="shared" si="8"/>
        <v>-4097677.7902787076</v>
      </c>
      <c r="E15" s="13">
        <f t="shared" si="8"/>
        <v>-3892195.2309904057</v>
      </c>
      <c r="F15" s="13">
        <f t="shared" si="8"/>
        <v>-3678685.1222249232</v>
      </c>
      <c r="G15" s="13">
        <f t="shared" si="8"/>
        <v>-3456896.8770925123</v>
      </c>
      <c r="H15" s="13">
        <f t="shared" si="8"/>
        <v>-3226577.500438788</v>
      </c>
      <c r="I15" s="13">
        <f t="shared" si="8"/>
        <v>-2987472.1477594026</v>
      </c>
      <c r="J15" s="13">
        <f t="shared" si="8"/>
        <v>-2739324.757657188</v>
      </c>
      <c r="K15" s="13">
        <f t="shared" si="8"/>
        <v>-2481878.7645788719</v>
      </c>
      <c r="L15" s="13">
        <f t="shared" si="8"/>
        <v>-2214877.8991116388</v>
      </c>
      <c r="M15" s="13">
        <f t="shared" si="8"/>
        <v>9724516.6893355213</v>
      </c>
    </row>
    <row r="16" spans="1:13" ht="15.75" thickBot="1" x14ac:dyDescent="0.3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5">
      <c r="B17" s="20" t="s">
        <v>7</v>
      </c>
      <c r="C17" s="61">
        <f t="shared" ref="C17:M17" si="9">+C7/C3</f>
        <v>0.73399352920179595</v>
      </c>
      <c r="D17" s="23">
        <f t="shared" si="9"/>
        <v>0.73861288495409128</v>
      </c>
      <c r="E17" s="23">
        <f t="shared" si="9"/>
        <v>0.74301227138484882</v>
      </c>
      <c r="F17" s="23">
        <f t="shared" si="9"/>
        <v>0.74720216322366562</v>
      </c>
      <c r="G17" s="23">
        <f t="shared" si="9"/>
        <v>0.75119253640349104</v>
      </c>
      <c r="H17" s="23">
        <f t="shared" si="9"/>
        <v>0.75499289181284857</v>
      </c>
      <c r="I17" s="23">
        <f t="shared" si="9"/>
        <v>0.7586122779169987</v>
      </c>
      <c r="J17" s="23">
        <f t="shared" si="9"/>
        <v>0.76205931230190349</v>
      </c>
      <c r="K17" s="23">
        <f t="shared" si="9"/>
        <v>0.7653422021922891</v>
      </c>
      <c r="L17" s="23">
        <f t="shared" si="9"/>
        <v>0.76846876399265629</v>
      </c>
      <c r="M17" s="24">
        <f t="shared" si="9"/>
        <v>0.77144644189776779</v>
      </c>
    </row>
    <row r="18" spans="1:13" ht="15.75" thickBot="1" x14ac:dyDescent="0.3">
      <c r="B18" s="21" t="s">
        <v>8</v>
      </c>
      <c r="C18" s="62">
        <f t="shared" ref="C18:M18" si="10">+C11/C3</f>
        <v>0.202182767413642</v>
      </c>
      <c r="D18" s="26">
        <f t="shared" si="10"/>
        <v>0.24155567984675974</v>
      </c>
      <c r="E18" s="26">
        <f t="shared" si="10"/>
        <v>0.28460016251649439</v>
      </c>
      <c r="F18" s="26">
        <f t="shared" si="10"/>
        <v>0.32601329053148881</v>
      </c>
      <c r="G18" s="26">
        <f t="shared" si="10"/>
        <v>0.36587956911752328</v>
      </c>
      <c r="H18" s="26">
        <f t="shared" si="10"/>
        <v>0.40427959066840824</v>
      </c>
      <c r="I18" s="26">
        <f t="shared" si="10"/>
        <v>0.44129022288484732</v>
      </c>
      <c r="J18" s="26">
        <f t="shared" si="10"/>
        <v>0.47698478798387661</v>
      </c>
      <c r="K18" s="26">
        <f t="shared" si="10"/>
        <v>0.51143323340457159</v>
      </c>
      <c r="L18" s="26">
        <f t="shared" si="10"/>
        <v>0.54470229441545326</v>
      </c>
      <c r="M18" s="27">
        <f t="shared" si="10"/>
        <v>0.5631559025853704</v>
      </c>
    </row>
    <row r="20" spans="1:13" x14ac:dyDescent="0.25">
      <c r="B20" s="1">
        <v>0.05</v>
      </c>
      <c r="C20" s="4">
        <v>1</v>
      </c>
      <c r="D20" s="4">
        <v>2</v>
      </c>
      <c r="E20" s="4">
        <v>3</v>
      </c>
      <c r="F20" s="4">
        <v>4</v>
      </c>
      <c r="G20" s="4">
        <v>5</v>
      </c>
      <c r="H20" s="4">
        <v>6</v>
      </c>
      <c r="I20" s="4">
        <v>7</v>
      </c>
      <c r="J20" s="4">
        <v>8</v>
      </c>
      <c r="K20" s="4">
        <v>9</v>
      </c>
      <c r="L20" s="4">
        <v>10</v>
      </c>
      <c r="M20" s="4">
        <v>11</v>
      </c>
    </row>
    <row r="21" spans="1:13" x14ac:dyDescent="0.25">
      <c r="A21" s="1" t="s">
        <v>187</v>
      </c>
      <c r="C21" s="4">
        <v>2017</v>
      </c>
      <c r="D21" s="4">
        <v>2018</v>
      </c>
      <c r="E21" s="4">
        <v>2019</v>
      </c>
      <c r="F21" s="4">
        <v>2020</v>
      </c>
      <c r="G21" s="4">
        <v>2021</v>
      </c>
      <c r="H21" s="4">
        <v>2022</v>
      </c>
      <c r="I21" s="4">
        <v>2023</v>
      </c>
      <c r="J21" s="4">
        <v>2024</v>
      </c>
      <c r="K21" s="4">
        <v>2025</v>
      </c>
      <c r="L21" s="4">
        <v>2026</v>
      </c>
      <c r="M21" s="4">
        <v>2027</v>
      </c>
    </row>
    <row r="22" spans="1:13" x14ac:dyDescent="0.25">
      <c r="B22" s="3" t="s">
        <v>1</v>
      </c>
      <c r="C22" s="13">
        <f>+C3*Cifras!$S$40</f>
        <v>10032961.628968129</v>
      </c>
      <c r="D22" s="13">
        <f t="shared" ref="D22:M22" si="11">+C22*(1+$B$1)</f>
        <v>10534609.710416535</v>
      </c>
      <c r="E22" s="13">
        <f t="shared" si="11"/>
        <v>11061340.195937362</v>
      </c>
      <c r="F22" s="13">
        <f t="shared" si="11"/>
        <v>11614407.205734231</v>
      </c>
      <c r="G22" s="13">
        <f t="shared" si="11"/>
        <v>12195127.566020943</v>
      </c>
      <c r="H22" s="13">
        <f t="shared" si="11"/>
        <v>12804883.94432199</v>
      </c>
      <c r="I22" s="13">
        <f t="shared" si="11"/>
        <v>13445128.141538091</v>
      </c>
      <c r="J22" s="13">
        <f t="shared" si="11"/>
        <v>14117384.548614996</v>
      </c>
      <c r="K22" s="13">
        <f t="shared" si="11"/>
        <v>14823253.776045745</v>
      </c>
      <c r="L22" s="13">
        <f t="shared" si="11"/>
        <v>15564416.464848034</v>
      </c>
      <c r="M22" s="13">
        <f t="shared" si="11"/>
        <v>16342637.288090436</v>
      </c>
    </row>
    <row r="23" spans="1:13" x14ac:dyDescent="0.25">
      <c r="B23" s="1" t="s">
        <v>6</v>
      </c>
      <c r="C23" s="13">
        <f>-Cifras!$S$42*'Proyecto Financiado'!C22</f>
        <v>-752472.12217260967</v>
      </c>
      <c r="D23" s="13">
        <f>-Cifras!$S$42*'Proyecto Financiado'!D22</f>
        <v>-790095.7282812401</v>
      </c>
      <c r="E23" s="13">
        <f>-Cifras!$S$42*'Proyecto Financiado'!E22</f>
        <v>-829600.51469530212</v>
      </c>
      <c r="F23" s="13">
        <f>-Cifras!$S$42*'Proyecto Financiado'!F22</f>
        <v>-871080.54043006722</v>
      </c>
      <c r="G23" s="13">
        <f>-Cifras!$S$42*'Proyecto Financiado'!G22</f>
        <v>-914634.56745157077</v>
      </c>
      <c r="H23" s="13">
        <f>-Cifras!$S$42*'Proyecto Financiado'!H22</f>
        <v>-960366.29582414916</v>
      </c>
      <c r="I23" s="13">
        <f>-Cifras!$S$42*'Proyecto Financiado'!I22</f>
        <v>-1008384.6106153568</v>
      </c>
      <c r="J23" s="13">
        <f>-Cifras!$S$42*'Proyecto Financiado'!J22</f>
        <v>-1058803.8411461245</v>
      </c>
      <c r="K23" s="13">
        <f>-Cifras!$S$42*'Proyecto Financiado'!K22</f>
        <v>-1111744.0332034309</v>
      </c>
      <c r="L23" s="13">
        <f>-Cifras!$S$42*'Proyecto Financiado'!L22</f>
        <v>-1167331.2348636026</v>
      </c>
      <c r="M23" s="13">
        <f>-Cifras!$S$42*'Proyecto Financiado'!M22</f>
        <v>-1225697.7966067826</v>
      </c>
    </row>
    <row r="24" spans="1:13" x14ac:dyDescent="0.25">
      <c r="B24" s="1" t="s">
        <v>183</v>
      </c>
      <c r="C24" s="13">
        <f>+C5</f>
        <v>-1216577.7490999999</v>
      </c>
      <c r="D24" s="13">
        <f t="shared" ref="D24:M24" si="12">+D5</f>
        <v>-1216577.7490999999</v>
      </c>
      <c r="E24" s="13">
        <f t="shared" si="12"/>
        <v>-1216577.7490999999</v>
      </c>
      <c r="F24" s="13">
        <f t="shared" si="12"/>
        <v>-1216577.7490999999</v>
      </c>
      <c r="G24" s="13">
        <f t="shared" si="12"/>
        <v>-1216577.7490999999</v>
      </c>
      <c r="H24" s="13">
        <f t="shared" si="12"/>
        <v>-1216577.7490999999</v>
      </c>
      <c r="I24" s="13">
        <f t="shared" si="12"/>
        <v>-1216577.7490999999</v>
      </c>
      <c r="J24" s="13">
        <f t="shared" si="12"/>
        <v>-1216577.7490999999</v>
      </c>
      <c r="K24" s="13">
        <f t="shared" si="12"/>
        <v>-1216577.7490999999</v>
      </c>
      <c r="L24" s="13">
        <f>+L5</f>
        <v>-1216577.7490999999</v>
      </c>
      <c r="M24" s="13">
        <f t="shared" si="12"/>
        <v>-1216577.7490999999</v>
      </c>
    </row>
    <row r="25" spans="1:13" ht="15.75" thickBot="1" x14ac:dyDescent="0.3">
      <c r="B25" s="1" t="s">
        <v>185</v>
      </c>
      <c r="C25" s="22">
        <f t="shared" ref="C25:M25" si="13">-C22*0.1*1.19</f>
        <v>-1193922.4338472073</v>
      </c>
      <c r="D25" s="22">
        <f t="shared" si="13"/>
        <v>-1253618.5555395677</v>
      </c>
      <c r="E25" s="22">
        <f t="shared" si="13"/>
        <v>-1316299.4833165461</v>
      </c>
      <c r="F25" s="22">
        <f t="shared" si="13"/>
        <v>-1382114.4574823736</v>
      </c>
      <c r="G25" s="22">
        <f t="shared" si="13"/>
        <v>-1451220.1803564921</v>
      </c>
      <c r="H25" s="22">
        <f t="shared" si="13"/>
        <v>-1523781.1893743169</v>
      </c>
      <c r="I25" s="22">
        <f t="shared" si="13"/>
        <v>-1599970.2488430329</v>
      </c>
      <c r="J25" s="22">
        <f t="shared" si="13"/>
        <v>-1679968.7612851844</v>
      </c>
      <c r="K25" s="22">
        <f t="shared" si="13"/>
        <v>-1763967.1993494437</v>
      </c>
      <c r="L25" s="22">
        <f t="shared" si="13"/>
        <v>-1852165.5593169159</v>
      </c>
      <c r="M25" s="22">
        <f t="shared" si="13"/>
        <v>-1944773.8372827619</v>
      </c>
    </row>
    <row r="26" spans="1:13" ht="15.75" thickTop="1" x14ac:dyDescent="0.25">
      <c r="B26" s="3" t="s">
        <v>9</v>
      </c>
      <c r="C26" s="13">
        <f t="shared" ref="C26:M26" si="14">SUM(C22:C25)</f>
        <v>6869989.3238483127</v>
      </c>
      <c r="D26" s="13">
        <f t="shared" si="14"/>
        <v>7274317.6774957264</v>
      </c>
      <c r="E26" s="13">
        <f t="shared" si="14"/>
        <v>7698862.4488255139</v>
      </c>
      <c r="F26" s="13">
        <f t="shared" si="14"/>
        <v>8144634.4587217905</v>
      </c>
      <c r="G26" s="13">
        <f t="shared" si="14"/>
        <v>8612695.069112882</v>
      </c>
      <c r="H26" s="13">
        <f t="shared" si="14"/>
        <v>9104158.7100235242</v>
      </c>
      <c r="I26" s="13">
        <f t="shared" si="14"/>
        <v>9620195.5329797007</v>
      </c>
      <c r="J26" s="13">
        <f t="shared" si="14"/>
        <v>10162034.197083687</v>
      </c>
      <c r="K26" s="13">
        <f t="shared" si="14"/>
        <v>10730964.794392871</v>
      </c>
      <c r="L26" s="13">
        <f t="shared" si="14"/>
        <v>11328341.921567516</v>
      </c>
      <c r="M26" s="13">
        <f t="shared" si="14"/>
        <v>11955587.905100891</v>
      </c>
    </row>
    <row r="27" spans="1:13" ht="15.75" thickBot="1" x14ac:dyDescent="0.3">
      <c r="B27" s="66" t="s">
        <v>194</v>
      </c>
      <c r="C27" s="22">
        <f>+C8</f>
        <v>-5824341.2304912154</v>
      </c>
      <c r="D27" s="22">
        <f t="shared" ref="D27:M27" si="15">+D8</f>
        <v>-5368893.9599925354</v>
      </c>
      <c r="E27" s="22">
        <f t="shared" si="15"/>
        <v>-4882877.0208443105</v>
      </c>
      <c r="F27" s="22">
        <f t="shared" si="15"/>
        <v>-4364238.573674839</v>
      </c>
      <c r="G27" s="22">
        <f t="shared" si="15"/>
        <v>-3810789.0594382063</v>
      </c>
      <c r="H27" s="22">
        <f t="shared" si="15"/>
        <v>-3220191.9556552796</v>
      </c>
      <c r="I27" s="22">
        <f t="shared" si="15"/>
        <v>-2589953.9122126289</v>
      </c>
      <c r="J27" s="22">
        <f t="shared" si="15"/>
        <v>-1917414.2250752326</v>
      </c>
      <c r="K27" s="22">
        <f t="shared" si="15"/>
        <v>-1199733.6034736831</v>
      </c>
      <c r="L27" s="22">
        <f t="shared" si="15"/>
        <v>-433882.18314380437</v>
      </c>
      <c r="M27" s="22">
        <f t="shared" si="15"/>
        <v>-8.4679715656759727E-10</v>
      </c>
    </row>
    <row r="28" spans="1:13" ht="15.75" thickTop="1" x14ac:dyDescent="0.25">
      <c r="B28" s="3" t="s">
        <v>195</v>
      </c>
      <c r="C28" s="13">
        <f t="shared" ref="C28:M28" si="16">SUM(C26:C27)</f>
        <v>1045648.0933570974</v>
      </c>
      <c r="D28" s="13">
        <f t="shared" si="16"/>
        <v>1905423.717503191</v>
      </c>
      <c r="E28" s="13">
        <f t="shared" si="16"/>
        <v>2815985.4279812034</v>
      </c>
      <c r="F28" s="13">
        <f t="shared" si="16"/>
        <v>3780395.8850469515</v>
      </c>
      <c r="G28" s="13">
        <f t="shared" si="16"/>
        <v>4801906.0096746758</v>
      </c>
      <c r="H28" s="13">
        <f t="shared" si="16"/>
        <v>5883966.7543682447</v>
      </c>
      <c r="I28" s="13">
        <f t="shared" si="16"/>
        <v>7030241.6207670718</v>
      </c>
      <c r="J28" s="13">
        <f t="shared" si="16"/>
        <v>8244619.9720084546</v>
      </c>
      <c r="K28" s="13">
        <f t="shared" si="16"/>
        <v>9531231.1909191869</v>
      </c>
      <c r="L28" s="13">
        <f t="shared" si="16"/>
        <v>10894459.738423713</v>
      </c>
      <c r="M28" s="13">
        <f t="shared" si="16"/>
        <v>11955587.905100891</v>
      </c>
    </row>
    <row r="29" spans="1:13" ht="15.75" thickBot="1" x14ac:dyDescent="0.3">
      <c r="B29" s="1" t="s">
        <v>186</v>
      </c>
      <c r="C29" s="22">
        <f>-C28*0.25</f>
        <v>-261412.02333927434</v>
      </c>
      <c r="D29" s="22">
        <f t="shared" ref="D29:M29" si="17">-D28*0.27</f>
        <v>-514464.40372586157</v>
      </c>
      <c r="E29" s="22">
        <f t="shared" si="17"/>
        <v>-760316.06555492501</v>
      </c>
      <c r="F29" s="22">
        <f t="shared" si="17"/>
        <v>-1020706.888962677</v>
      </c>
      <c r="G29" s="22">
        <f t="shared" si="17"/>
        <v>-1296514.6226121625</v>
      </c>
      <c r="H29" s="22">
        <f t="shared" si="17"/>
        <v>-1588671.0236794262</v>
      </c>
      <c r="I29" s="22">
        <f t="shared" si="17"/>
        <v>-1898165.2376071096</v>
      </c>
      <c r="J29" s="22">
        <f t="shared" si="17"/>
        <v>-2226047.3924422828</v>
      </c>
      <c r="K29" s="22">
        <f t="shared" si="17"/>
        <v>-2573432.4215481807</v>
      </c>
      <c r="L29" s="22">
        <f t="shared" si="17"/>
        <v>-2941504.1293744026</v>
      </c>
      <c r="M29" s="22">
        <f t="shared" si="17"/>
        <v>-3228008.7343772408</v>
      </c>
    </row>
    <row r="30" spans="1:13" ht="15.75" thickTop="1" x14ac:dyDescent="0.25">
      <c r="B30" s="3" t="s">
        <v>184</v>
      </c>
      <c r="C30" s="13">
        <f>SUM(C28:C29)</f>
        <v>784236.07001782302</v>
      </c>
      <c r="D30" s="13">
        <f t="shared" ref="D30:K30" si="18">SUM(D28:D29)</f>
        <v>1390959.3137773294</v>
      </c>
      <c r="E30" s="13">
        <f>SUM(E28:E29)</f>
        <v>2055669.3624262784</v>
      </c>
      <c r="F30" s="13">
        <f t="shared" si="18"/>
        <v>2759688.9960842747</v>
      </c>
      <c r="G30" s="13">
        <f t="shared" si="18"/>
        <v>3505391.3870625133</v>
      </c>
      <c r="H30" s="13">
        <f t="shared" si="18"/>
        <v>4295295.7306888187</v>
      </c>
      <c r="I30" s="13">
        <f t="shared" si="18"/>
        <v>5132076.3831599625</v>
      </c>
      <c r="J30" s="13">
        <f t="shared" si="18"/>
        <v>6018572.5795661714</v>
      </c>
      <c r="K30" s="13">
        <f t="shared" si="18"/>
        <v>6957798.7693710066</v>
      </c>
      <c r="L30" s="13">
        <f>SUM(L28:L29)</f>
        <v>7952955.60904931</v>
      </c>
      <c r="M30" s="13">
        <f>SUM(M28:M29)</f>
        <v>8727579.1707236506</v>
      </c>
    </row>
    <row r="31" spans="1:13" x14ac:dyDescent="0.25">
      <c r="B31" s="1" t="s">
        <v>183</v>
      </c>
      <c r="C31" s="13">
        <f t="shared" ref="C31:M31" si="19">-C24</f>
        <v>1216577.7490999999</v>
      </c>
      <c r="D31" s="13">
        <f t="shared" si="19"/>
        <v>1216577.7490999999</v>
      </c>
      <c r="E31" s="13">
        <f t="shared" si="19"/>
        <v>1216577.7490999999</v>
      </c>
      <c r="F31" s="13">
        <f t="shared" si="19"/>
        <v>1216577.7490999999</v>
      </c>
      <c r="G31" s="13">
        <f t="shared" si="19"/>
        <v>1216577.7490999999</v>
      </c>
      <c r="H31" s="13">
        <f t="shared" si="19"/>
        <v>1216577.7490999999</v>
      </c>
      <c r="I31" s="13">
        <f t="shared" si="19"/>
        <v>1216577.7490999999</v>
      </c>
      <c r="J31" s="13">
        <f t="shared" si="19"/>
        <v>1216577.7490999999</v>
      </c>
      <c r="K31" s="13">
        <f t="shared" si="19"/>
        <v>1216577.7490999999</v>
      </c>
      <c r="L31" s="13">
        <f t="shared" si="19"/>
        <v>1216577.7490999999</v>
      </c>
      <c r="M31" s="13">
        <f t="shared" si="19"/>
        <v>1216577.7490999999</v>
      </c>
    </row>
    <row r="32" spans="1:13" x14ac:dyDescent="0.25">
      <c r="B32" s="1" t="s">
        <v>196</v>
      </c>
      <c r="C32" s="13">
        <f t="shared" ref="C32:M32" si="20">+C13</f>
        <v>-6785556.5784089398</v>
      </c>
      <c r="D32" s="13">
        <f t="shared" si="20"/>
        <v>-7241003.8489076206</v>
      </c>
      <c r="E32" s="13">
        <f t="shared" si="20"/>
        <v>-7727020.7880558455</v>
      </c>
      <c r="F32" s="13">
        <f t="shared" si="20"/>
        <v>-8245659.2352253161</v>
      </c>
      <c r="G32" s="13">
        <f t="shared" si="20"/>
        <v>-8799108.7494619507</v>
      </c>
      <c r="H32" s="13">
        <f t="shared" si="20"/>
        <v>-9389705.8532448802</v>
      </c>
      <c r="I32" s="13">
        <f t="shared" si="20"/>
        <v>-10019943.8966875</v>
      </c>
      <c r="J32" s="13">
        <f t="shared" si="20"/>
        <v>-10692483.583824901</v>
      </c>
      <c r="K32" s="13">
        <f t="shared" si="20"/>
        <v>-11410164.205426499</v>
      </c>
      <c r="L32" s="13">
        <f t="shared" si="20"/>
        <v>-12176015.6257564</v>
      </c>
      <c r="M32" s="13">
        <f t="shared" si="20"/>
        <v>-1050824.8174083501</v>
      </c>
    </row>
    <row r="33" spans="1:13" ht="15.75" thickBot="1" x14ac:dyDescent="0.3">
      <c r="B33" s="1" t="s">
        <v>191</v>
      </c>
      <c r="C33" s="22">
        <v>-1000000</v>
      </c>
      <c r="D33" s="22">
        <f t="shared" ref="D33:M33" si="21">-C22*0.12</f>
        <v>-1203955.3954761755</v>
      </c>
      <c r="E33" s="22">
        <f t="shared" si="21"/>
        <v>-1264153.1652499842</v>
      </c>
      <c r="F33" s="22">
        <f t="shared" si="21"/>
        <v>-1327360.8235124834</v>
      </c>
      <c r="G33" s="22">
        <f t="shared" si="21"/>
        <v>-1393728.8646881075</v>
      </c>
      <c r="H33" s="22">
        <f t="shared" si="21"/>
        <v>-1463415.3079225132</v>
      </c>
      <c r="I33" s="22">
        <f t="shared" si="21"/>
        <v>-1536586.0733186388</v>
      </c>
      <c r="J33" s="22">
        <f t="shared" si="21"/>
        <v>-1613415.3769845709</v>
      </c>
      <c r="K33" s="22">
        <f t="shared" si="21"/>
        <v>-1694086.1458337994</v>
      </c>
      <c r="L33" s="22">
        <f t="shared" si="21"/>
        <v>-1778790.4531254894</v>
      </c>
      <c r="M33" s="22">
        <f t="shared" si="21"/>
        <v>-1867729.9757817641</v>
      </c>
    </row>
    <row r="34" spans="1:13" ht="15.75" thickTop="1" x14ac:dyDescent="0.25">
      <c r="B34" s="3" t="s">
        <v>190</v>
      </c>
      <c r="C34" s="13">
        <f t="shared" ref="C34:M34" si="22">SUM(C30:C33)</f>
        <v>-5784742.7592911171</v>
      </c>
      <c r="D34" s="13">
        <f t="shared" si="22"/>
        <v>-5837422.1815064671</v>
      </c>
      <c r="E34" s="13">
        <f t="shared" si="22"/>
        <v>-5718926.8417795524</v>
      </c>
      <c r="F34" s="13">
        <f t="shared" si="22"/>
        <v>-5596753.3135535251</v>
      </c>
      <c r="G34" s="13">
        <f t="shared" si="22"/>
        <v>-5470868.4779875455</v>
      </c>
      <c r="H34" s="13">
        <f t="shared" si="22"/>
        <v>-5341247.681378575</v>
      </c>
      <c r="I34" s="13">
        <f t="shared" si="22"/>
        <v>-5207875.8377461769</v>
      </c>
      <c r="J34" s="13">
        <f t="shared" si="22"/>
        <v>-5070748.632143301</v>
      </c>
      <c r="K34" s="13">
        <f t="shared" si="22"/>
        <v>-4929873.8327892926</v>
      </c>
      <c r="L34" s="13">
        <f t="shared" si="22"/>
        <v>-4785272.720732579</v>
      </c>
      <c r="M34" s="13">
        <f t="shared" si="22"/>
        <v>7025602.126633537</v>
      </c>
    </row>
    <row r="35" spans="1:13" ht="15.75" thickBot="1" x14ac:dyDescent="0.3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5">
      <c r="B36" s="20" t="s">
        <v>7</v>
      </c>
      <c r="C36" s="23">
        <f t="shared" ref="C36:M36" si="23">+C26/C22</f>
        <v>0.68474191150224484</v>
      </c>
      <c r="D36" s="23">
        <f t="shared" si="23"/>
        <v>0.69051610619261394</v>
      </c>
      <c r="E36" s="23">
        <f t="shared" si="23"/>
        <v>0.69601533923106107</v>
      </c>
      <c r="F36" s="23">
        <f t="shared" si="23"/>
        <v>0.70125270402958195</v>
      </c>
      <c r="G36" s="23">
        <f t="shared" si="23"/>
        <v>0.7062406705043639</v>
      </c>
      <c r="H36" s="23">
        <f t="shared" si="23"/>
        <v>0.71099111476606069</v>
      </c>
      <c r="I36" s="23">
        <f t="shared" si="23"/>
        <v>0.71551534739624822</v>
      </c>
      <c r="J36" s="23">
        <f t="shared" si="23"/>
        <v>0.71982414037737941</v>
      </c>
      <c r="K36" s="23">
        <f t="shared" si="23"/>
        <v>0.72392775274036125</v>
      </c>
      <c r="L36" s="23">
        <f t="shared" si="23"/>
        <v>0.72783595499082032</v>
      </c>
      <c r="M36" s="23">
        <f t="shared" si="23"/>
        <v>0.73155805237220972</v>
      </c>
    </row>
    <row r="37" spans="1:13" ht="15.75" thickBot="1" x14ac:dyDescent="0.3">
      <c r="B37" s="21" t="s">
        <v>8</v>
      </c>
      <c r="C37" s="26">
        <f t="shared" ref="C37:M37" si="24">+C30/C22</f>
        <v>7.8165959267052457E-2</v>
      </c>
      <c r="D37" s="26">
        <f t="shared" si="24"/>
        <v>0.13203709980844952</v>
      </c>
      <c r="E37" s="26">
        <f t="shared" si="24"/>
        <v>0.18584270314561793</v>
      </c>
      <c r="F37" s="26">
        <f t="shared" si="24"/>
        <v>0.23760911316436101</v>
      </c>
      <c r="G37" s="26">
        <f t="shared" si="24"/>
        <v>0.28744196139690414</v>
      </c>
      <c r="H37" s="26">
        <f t="shared" si="24"/>
        <v>0.3354419883355102</v>
      </c>
      <c r="I37" s="26">
        <f t="shared" si="24"/>
        <v>0.38170527860605907</v>
      </c>
      <c r="J37" s="26">
        <f t="shared" si="24"/>
        <v>0.42632348497984573</v>
      </c>
      <c r="K37" s="26">
        <f t="shared" si="24"/>
        <v>0.46938404175571435</v>
      </c>
      <c r="L37" s="26">
        <f t="shared" si="24"/>
        <v>0.51097036801931661</v>
      </c>
      <c r="M37" s="26">
        <f t="shared" si="24"/>
        <v>0.53403737823171316</v>
      </c>
    </row>
    <row r="39" spans="1:13" x14ac:dyDescent="0.25">
      <c r="B39" s="1">
        <v>0.05</v>
      </c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</row>
    <row r="40" spans="1:13" x14ac:dyDescent="0.25">
      <c r="A40" s="1" t="s">
        <v>189</v>
      </c>
      <c r="C40" s="4">
        <v>2017</v>
      </c>
      <c r="D40" s="4">
        <v>2018</v>
      </c>
      <c r="E40" s="4">
        <v>2019</v>
      </c>
      <c r="F40" s="4">
        <v>2020</v>
      </c>
      <c r="G40" s="4">
        <v>2021</v>
      </c>
      <c r="H40" s="4">
        <v>2022</v>
      </c>
      <c r="I40" s="4">
        <v>2023</v>
      </c>
      <c r="J40" s="4">
        <v>2024</v>
      </c>
      <c r="K40" s="4">
        <v>2025</v>
      </c>
      <c r="L40" s="4">
        <v>2026</v>
      </c>
      <c r="M40" s="4">
        <v>2027</v>
      </c>
    </row>
    <row r="41" spans="1:13" x14ac:dyDescent="0.25">
      <c r="B41" s="3" t="s">
        <v>1</v>
      </c>
      <c r="C41" s="13">
        <f>+C3*Cifras!$S$35</f>
        <v>15049442.443452192</v>
      </c>
      <c r="D41" s="13">
        <f t="shared" ref="D41:M41" si="25">+C41*(1+$B$1)</f>
        <v>15801914.565624803</v>
      </c>
      <c r="E41" s="13">
        <f t="shared" si="25"/>
        <v>16592010.293906044</v>
      </c>
      <c r="F41" s="13">
        <f t="shared" si="25"/>
        <v>17421610.808601346</v>
      </c>
      <c r="G41" s="13">
        <f t="shared" si="25"/>
        <v>18292691.349031415</v>
      </c>
      <c r="H41" s="13">
        <f t="shared" si="25"/>
        <v>19207325.916482985</v>
      </c>
      <c r="I41" s="13">
        <f t="shared" si="25"/>
        <v>20167692.212307137</v>
      </c>
      <c r="J41" s="13">
        <f t="shared" si="25"/>
        <v>21176076.822922494</v>
      </c>
      <c r="K41" s="13">
        <f t="shared" si="25"/>
        <v>22234880.664068621</v>
      </c>
      <c r="L41" s="13">
        <f t="shared" si="25"/>
        <v>23346624.697272051</v>
      </c>
      <c r="M41" s="13">
        <f t="shared" si="25"/>
        <v>24513955.932135656</v>
      </c>
    </row>
    <row r="42" spans="1:13" x14ac:dyDescent="0.25">
      <c r="B42" s="1" t="s">
        <v>6</v>
      </c>
      <c r="C42" s="13">
        <f>+-C41*Cifras!$S$37</f>
        <v>-376236.06108630484</v>
      </c>
      <c r="D42" s="13">
        <f>+-D41*Cifras!$S$37</f>
        <v>-395047.86414062011</v>
      </c>
      <c r="E42" s="13">
        <f>+-E41*Cifras!$S$37</f>
        <v>-414800.25734765112</v>
      </c>
      <c r="F42" s="13">
        <f>+-F41*Cifras!$S$37</f>
        <v>-435540.27021503367</v>
      </c>
      <c r="G42" s="13">
        <f>+-G41*Cifras!$S$37</f>
        <v>-457317.28372578538</v>
      </c>
      <c r="H42" s="13">
        <f>+-H41*Cifras!$S$37</f>
        <v>-480183.14791207464</v>
      </c>
      <c r="I42" s="13">
        <f>+-I41*Cifras!$S$37</f>
        <v>-504192.30530767841</v>
      </c>
      <c r="J42" s="13">
        <f>+-J41*Cifras!$S$37</f>
        <v>-529401.92057306238</v>
      </c>
      <c r="K42" s="13">
        <f>+-K41*Cifras!$S$37</f>
        <v>-555872.01660171559</v>
      </c>
      <c r="L42" s="13">
        <f>+-L41*Cifras!$S$37</f>
        <v>-583665.61743180128</v>
      </c>
      <c r="M42" s="13">
        <f>+-M41*Cifras!$S$37</f>
        <v>-612848.89830339141</v>
      </c>
    </row>
    <row r="43" spans="1:13" x14ac:dyDescent="0.25">
      <c r="B43" s="1" t="s">
        <v>183</v>
      </c>
      <c r="C43" s="13">
        <f t="shared" ref="C43:M43" si="26">+C5</f>
        <v>-1216577.7490999999</v>
      </c>
      <c r="D43" s="13">
        <f t="shared" si="26"/>
        <v>-1216577.7490999999</v>
      </c>
      <c r="E43" s="13">
        <f t="shared" si="26"/>
        <v>-1216577.7490999999</v>
      </c>
      <c r="F43" s="13">
        <f t="shared" si="26"/>
        <v>-1216577.7490999999</v>
      </c>
      <c r="G43" s="13">
        <f t="shared" si="26"/>
        <v>-1216577.7490999999</v>
      </c>
      <c r="H43" s="13">
        <f t="shared" si="26"/>
        <v>-1216577.7490999999</v>
      </c>
      <c r="I43" s="13">
        <f t="shared" si="26"/>
        <v>-1216577.7490999999</v>
      </c>
      <c r="J43" s="13">
        <f t="shared" si="26"/>
        <v>-1216577.7490999999</v>
      </c>
      <c r="K43" s="13">
        <f t="shared" si="26"/>
        <v>-1216577.7490999999</v>
      </c>
      <c r="L43" s="13">
        <f t="shared" si="26"/>
        <v>-1216577.7490999999</v>
      </c>
      <c r="M43" s="13">
        <f t="shared" si="26"/>
        <v>-1216577.7490999999</v>
      </c>
    </row>
    <row r="44" spans="1:13" ht="15.75" thickBot="1" x14ac:dyDescent="0.3">
      <c r="B44" s="1" t="s">
        <v>185</v>
      </c>
      <c r="C44" s="22">
        <f t="shared" ref="C44:M44" si="27">-C41*0.1*1.19</f>
        <v>-1790883.6507708109</v>
      </c>
      <c r="D44" s="22">
        <f t="shared" si="27"/>
        <v>-1880427.8333093517</v>
      </c>
      <c r="E44" s="22">
        <f t="shared" si="27"/>
        <v>-1974449.2249748192</v>
      </c>
      <c r="F44" s="22">
        <f t="shared" si="27"/>
        <v>-2073171.6862235602</v>
      </c>
      <c r="G44" s="22">
        <f t="shared" si="27"/>
        <v>-2176830.2705347384</v>
      </c>
      <c r="H44" s="22">
        <f t="shared" si="27"/>
        <v>-2285671.7840614752</v>
      </c>
      <c r="I44" s="22">
        <f t="shared" si="27"/>
        <v>-2399955.3732645493</v>
      </c>
      <c r="J44" s="22">
        <f t="shared" si="27"/>
        <v>-2519953.1419277769</v>
      </c>
      <c r="K44" s="22">
        <f t="shared" si="27"/>
        <v>-2645950.7990241661</v>
      </c>
      <c r="L44" s="22">
        <f t="shared" si="27"/>
        <v>-2778248.3389753741</v>
      </c>
      <c r="M44" s="22">
        <f t="shared" si="27"/>
        <v>-2917160.7559241429</v>
      </c>
    </row>
    <row r="45" spans="1:13" ht="15.75" thickTop="1" x14ac:dyDescent="0.25">
      <c r="B45" s="3" t="s">
        <v>9</v>
      </c>
      <c r="C45" s="13">
        <f t="shared" ref="C45:M45" si="28">SUM(C41:C44)</f>
        <v>11665744.982495077</v>
      </c>
      <c r="D45" s="13">
        <f t="shared" si="28"/>
        <v>12309861.119074831</v>
      </c>
      <c r="E45" s="13">
        <f t="shared" si="28"/>
        <v>12986183.062483575</v>
      </c>
      <c r="F45" s="13">
        <f t="shared" si="28"/>
        <v>13696321.103062751</v>
      </c>
      <c r="G45" s="13">
        <f t="shared" si="28"/>
        <v>14441966.045670889</v>
      </c>
      <c r="H45" s="13">
        <f t="shared" si="28"/>
        <v>15224893.235409437</v>
      </c>
      <c r="I45" s="13">
        <f t="shared" si="28"/>
        <v>16046966.784634909</v>
      </c>
      <c r="J45" s="13">
        <f t="shared" si="28"/>
        <v>16910144.011321656</v>
      </c>
      <c r="K45" s="13">
        <f t="shared" si="28"/>
        <v>17816480.099342741</v>
      </c>
      <c r="L45" s="13">
        <f t="shared" si="28"/>
        <v>18768132.991764877</v>
      </c>
      <c r="M45" s="13">
        <f t="shared" si="28"/>
        <v>19767368.528808124</v>
      </c>
    </row>
    <row r="46" spans="1:13" ht="15.75" thickBot="1" x14ac:dyDescent="0.3">
      <c r="B46" s="66" t="s">
        <v>194</v>
      </c>
      <c r="C46" s="22">
        <f>+C8</f>
        <v>-5824341.2304912154</v>
      </c>
      <c r="D46" s="22">
        <f t="shared" ref="D46:M46" si="29">+D8</f>
        <v>-5368893.9599925354</v>
      </c>
      <c r="E46" s="22">
        <f t="shared" si="29"/>
        <v>-4882877.0208443105</v>
      </c>
      <c r="F46" s="22">
        <f t="shared" si="29"/>
        <v>-4364238.573674839</v>
      </c>
      <c r="G46" s="22">
        <f t="shared" si="29"/>
        <v>-3810789.0594382063</v>
      </c>
      <c r="H46" s="22">
        <f t="shared" si="29"/>
        <v>-3220191.9556552796</v>
      </c>
      <c r="I46" s="22">
        <f t="shared" si="29"/>
        <v>-2589953.9122126289</v>
      </c>
      <c r="J46" s="22">
        <f t="shared" si="29"/>
        <v>-1917414.2250752326</v>
      </c>
      <c r="K46" s="22">
        <f t="shared" si="29"/>
        <v>-1199733.6034736831</v>
      </c>
      <c r="L46" s="22">
        <f t="shared" si="29"/>
        <v>-433882.18314380437</v>
      </c>
      <c r="M46" s="22">
        <f t="shared" si="29"/>
        <v>-8.4679715656759727E-10</v>
      </c>
    </row>
    <row r="47" spans="1:13" ht="15.75" thickTop="1" x14ac:dyDescent="0.25">
      <c r="B47" s="3" t="s">
        <v>195</v>
      </c>
      <c r="C47" s="13">
        <f t="shared" ref="C47:M47" si="30">SUM(C45:C46)</f>
        <v>5841403.7520038616</v>
      </c>
      <c r="D47" s="13">
        <f t="shared" si="30"/>
        <v>6940967.1590822954</v>
      </c>
      <c r="E47" s="13">
        <f t="shared" si="30"/>
        <v>8103306.0416392647</v>
      </c>
      <c r="F47" s="13">
        <f t="shared" si="30"/>
        <v>9332082.5293879118</v>
      </c>
      <c r="G47" s="13">
        <f t="shared" si="30"/>
        <v>10631176.986232683</v>
      </c>
      <c r="H47" s="13">
        <f t="shared" si="30"/>
        <v>12004701.279754158</v>
      </c>
      <c r="I47" s="13">
        <f t="shared" si="30"/>
        <v>13457012.87242228</v>
      </c>
      <c r="J47" s="13">
        <f t="shared" si="30"/>
        <v>14992729.786246425</v>
      </c>
      <c r="K47" s="13">
        <f t="shared" si="30"/>
        <v>16616746.495869057</v>
      </c>
      <c r="L47" s="13">
        <f t="shared" si="30"/>
        <v>18334250.808621071</v>
      </c>
      <c r="M47" s="13">
        <f t="shared" si="30"/>
        <v>19767368.528808124</v>
      </c>
    </row>
    <row r="48" spans="1:13" ht="15.75" thickBot="1" x14ac:dyDescent="0.3">
      <c r="B48" s="1" t="s">
        <v>186</v>
      </c>
      <c r="C48" s="22">
        <f>-C47*0.25</f>
        <v>-1460350.9380009654</v>
      </c>
      <c r="D48" s="22">
        <f t="shared" ref="D48:M48" si="31">-D47*0.27</f>
        <v>-1874061.1329522198</v>
      </c>
      <c r="E48" s="22">
        <f t="shared" si="31"/>
        <v>-2187892.6312426017</v>
      </c>
      <c r="F48" s="22">
        <f t="shared" si="31"/>
        <v>-2519662.2829347365</v>
      </c>
      <c r="G48" s="22">
        <f t="shared" si="31"/>
        <v>-2870417.7862828248</v>
      </c>
      <c r="H48" s="22">
        <f t="shared" si="31"/>
        <v>-3241269.3455336229</v>
      </c>
      <c r="I48" s="22">
        <f t="shared" si="31"/>
        <v>-3633393.475554016</v>
      </c>
      <c r="J48" s="22">
        <f t="shared" si="31"/>
        <v>-4048037.0422865348</v>
      </c>
      <c r="K48" s="22">
        <f t="shared" si="31"/>
        <v>-4486521.5538846459</v>
      </c>
      <c r="L48" s="22">
        <f t="shared" si="31"/>
        <v>-4950247.7183276899</v>
      </c>
      <c r="M48" s="22">
        <f t="shared" si="31"/>
        <v>-5337189.5027781939</v>
      </c>
    </row>
    <row r="49" spans="2:14" ht="15.75" thickTop="1" x14ac:dyDescent="0.25">
      <c r="B49" s="3" t="s">
        <v>184</v>
      </c>
      <c r="C49" s="13">
        <f t="shared" ref="C49:M49" si="32">+SUM(C47:C48)</f>
        <v>4381052.8140028957</v>
      </c>
      <c r="D49" s="13">
        <f t="shared" si="32"/>
        <v>5066906.0261300756</v>
      </c>
      <c r="E49" s="13">
        <f t="shared" si="32"/>
        <v>5915413.4103966635</v>
      </c>
      <c r="F49" s="13">
        <f t="shared" si="32"/>
        <v>6812420.2464531753</v>
      </c>
      <c r="G49" s="13">
        <f t="shared" si="32"/>
        <v>7760759.1999498587</v>
      </c>
      <c r="H49" s="13">
        <f t="shared" si="32"/>
        <v>8763431.9342205357</v>
      </c>
      <c r="I49" s="13">
        <f t="shared" si="32"/>
        <v>9823619.3968682643</v>
      </c>
      <c r="J49" s="13">
        <f t="shared" si="32"/>
        <v>10944692.743959889</v>
      </c>
      <c r="K49" s="13">
        <f t="shared" si="32"/>
        <v>12130224.941984411</v>
      </c>
      <c r="L49" s="13">
        <f t="shared" si="32"/>
        <v>13384003.090293381</v>
      </c>
      <c r="M49" s="13">
        <f t="shared" si="32"/>
        <v>14430179.02602993</v>
      </c>
    </row>
    <row r="50" spans="2:14" x14ac:dyDescent="0.25">
      <c r="B50" s="1" t="s">
        <v>183</v>
      </c>
      <c r="C50" s="13">
        <f t="shared" ref="C50:M50" si="33">-C43</f>
        <v>1216577.7490999999</v>
      </c>
      <c r="D50" s="13">
        <f t="shared" si="33"/>
        <v>1216577.7490999999</v>
      </c>
      <c r="E50" s="13">
        <f t="shared" si="33"/>
        <v>1216577.7490999999</v>
      </c>
      <c r="F50" s="13">
        <f t="shared" si="33"/>
        <v>1216577.7490999999</v>
      </c>
      <c r="G50" s="13">
        <f t="shared" si="33"/>
        <v>1216577.7490999999</v>
      </c>
      <c r="H50" s="13">
        <f t="shared" si="33"/>
        <v>1216577.7490999999</v>
      </c>
      <c r="I50" s="13">
        <f t="shared" si="33"/>
        <v>1216577.7490999999</v>
      </c>
      <c r="J50" s="13">
        <f t="shared" si="33"/>
        <v>1216577.7490999999</v>
      </c>
      <c r="K50" s="13">
        <f t="shared" si="33"/>
        <v>1216577.7490999999</v>
      </c>
      <c r="L50" s="13">
        <f t="shared" si="33"/>
        <v>1216577.7490999999</v>
      </c>
      <c r="M50" s="13">
        <f t="shared" si="33"/>
        <v>1216577.7490999999</v>
      </c>
    </row>
    <row r="51" spans="2:14" x14ac:dyDescent="0.25">
      <c r="B51" s="1" t="s">
        <v>196</v>
      </c>
      <c r="C51" s="13">
        <f>+C13</f>
        <v>-6785556.5784089398</v>
      </c>
      <c r="D51" s="13">
        <f>+D13</f>
        <v>-7241003.8489076206</v>
      </c>
      <c r="E51" s="13">
        <f t="shared" ref="E51:L51" si="34">+E13</f>
        <v>-7727020.7880558455</v>
      </c>
      <c r="F51" s="13">
        <f t="shared" si="34"/>
        <v>-8245659.2352253161</v>
      </c>
      <c r="G51" s="13">
        <f t="shared" si="34"/>
        <v>-8799108.7494619507</v>
      </c>
      <c r="H51" s="13">
        <f t="shared" si="34"/>
        <v>-9389705.8532448802</v>
      </c>
      <c r="I51" s="13">
        <f t="shared" si="34"/>
        <v>-10019943.8966875</v>
      </c>
      <c r="J51" s="13">
        <f t="shared" si="34"/>
        <v>-10692483.583824901</v>
      </c>
      <c r="K51" s="13">
        <f t="shared" si="34"/>
        <v>-11410164.205426499</v>
      </c>
      <c r="L51" s="13">
        <f t="shared" si="34"/>
        <v>-12176015.6257564</v>
      </c>
      <c r="M51" s="13">
        <f>+M13</f>
        <v>-1050824.8174083501</v>
      </c>
    </row>
    <row r="52" spans="2:14" ht="15.75" thickBot="1" x14ac:dyDescent="0.3">
      <c r="B52" s="1" t="s">
        <v>191</v>
      </c>
      <c r="C52" s="22">
        <v>-1000000</v>
      </c>
      <c r="D52" s="22">
        <f t="shared" ref="D52:M52" si="35">-C41*0.08</f>
        <v>-1203955.3954761755</v>
      </c>
      <c r="E52" s="22">
        <f t="shared" si="35"/>
        <v>-1264153.1652499842</v>
      </c>
      <c r="F52" s="22">
        <f t="shared" si="35"/>
        <v>-1327360.8235124836</v>
      </c>
      <c r="G52" s="22">
        <f t="shared" si="35"/>
        <v>-1393728.8646881077</v>
      </c>
      <c r="H52" s="22">
        <f t="shared" si="35"/>
        <v>-1463415.3079225132</v>
      </c>
      <c r="I52" s="22">
        <f t="shared" si="35"/>
        <v>-1536586.0733186388</v>
      </c>
      <c r="J52" s="22">
        <f t="shared" si="35"/>
        <v>-1613415.3769845709</v>
      </c>
      <c r="K52" s="22">
        <f t="shared" si="35"/>
        <v>-1694086.1458337996</v>
      </c>
      <c r="L52" s="22">
        <f t="shared" si="35"/>
        <v>-1778790.4531254896</v>
      </c>
      <c r="M52" s="22">
        <f t="shared" si="35"/>
        <v>-1867729.9757817641</v>
      </c>
    </row>
    <row r="53" spans="2:14" ht="15.75" thickTop="1" x14ac:dyDescent="0.25">
      <c r="B53" s="3" t="s">
        <v>190</v>
      </c>
      <c r="C53" s="13">
        <f t="shared" ref="C53:M53" si="36">SUM(C49:C52)</f>
        <v>-2187926.0153060444</v>
      </c>
      <c r="D53" s="13">
        <f t="shared" si="36"/>
        <v>-2161475.4691537209</v>
      </c>
      <c r="E53" s="13">
        <f t="shared" si="36"/>
        <v>-1859182.7938091666</v>
      </c>
      <c r="F53" s="13">
        <f t="shared" si="36"/>
        <v>-1544022.0631846248</v>
      </c>
      <c r="G53" s="13">
        <f t="shared" si="36"/>
        <v>-1215500.6651002001</v>
      </c>
      <c r="H53" s="13">
        <f t="shared" si="36"/>
        <v>-873111.47784685809</v>
      </c>
      <c r="I53" s="13">
        <f t="shared" si="36"/>
        <v>-516332.82403787505</v>
      </c>
      <c r="J53" s="13">
        <f t="shared" si="36"/>
        <v>-144628.4677495833</v>
      </c>
      <c r="K53" s="13">
        <f t="shared" si="36"/>
        <v>242552.33982411213</v>
      </c>
      <c r="L53" s="13">
        <f t="shared" si="36"/>
        <v>645774.76051149168</v>
      </c>
      <c r="M53" s="13">
        <f t="shared" si="36"/>
        <v>12728201.981939815</v>
      </c>
    </row>
    <row r="54" spans="2:14" ht="15.75" thickBot="1" x14ac:dyDescent="0.3">
      <c r="B54" s="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4" x14ac:dyDescent="0.25">
      <c r="B55" s="20" t="s">
        <v>7</v>
      </c>
      <c r="C55" s="61">
        <f>+C45/C41</f>
        <v>0.77516127433482984</v>
      </c>
      <c r="D55" s="23">
        <f>+D45/D41</f>
        <v>0.77901073746174265</v>
      </c>
      <c r="E55" s="23">
        <f>+E45/E41</f>
        <v>0.7826768928207074</v>
      </c>
      <c r="F55" s="23">
        <f t="shared" ref="F55:K55" si="37">+F45/F41</f>
        <v>0.78616846935305451</v>
      </c>
      <c r="G55" s="23">
        <f t="shared" si="37"/>
        <v>0.7894937803362424</v>
      </c>
      <c r="H55" s="23">
        <f t="shared" si="37"/>
        <v>0.79266074317737389</v>
      </c>
      <c r="I55" s="23">
        <f t="shared" si="37"/>
        <v>0.79567689826416554</v>
      </c>
      <c r="J55" s="23">
        <f t="shared" si="37"/>
        <v>0.79854942691825292</v>
      </c>
      <c r="K55" s="23">
        <f t="shared" si="37"/>
        <v>0.80128516849357423</v>
      </c>
      <c r="L55" s="23">
        <f>+L45/L41</f>
        <v>0.80389063666054694</v>
      </c>
      <c r="M55" s="24">
        <f>+M45/M41</f>
        <v>0.80637203491480658</v>
      </c>
    </row>
    <row r="56" spans="2:14" ht="15.75" thickBot="1" x14ac:dyDescent="0.3">
      <c r="B56" s="21" t="s">
        <v>8</v>
      </c>
      <c r="C56" s="62">
        <f>+C49/C41</f>
        <v>0.29111063951136823</v>
      </c>
      <c r="D56" s="26">
        <f>+D49/D41</f>
        <v>0.32065139987229968</v>
      </c>
      <c r="E56" s="26">
        <f>+E49/E41</f>
        <v>0.35652180209707873</v>
      </c>
      <c r="F56" s="26">
        <f t="shared" ref="F56:K56" si="38">+F49/F41</f>
        <v>0.39103274210957389</v>
      </c>
      <c r="G56" s="26">
        <f t="shared" si="38"/>
        <v>0.4242546409312693</v>
      </c>
      <c r="H56" s="26">
        <f t="shared" si="38"/>
        <v>0.45625465889034023</v>
      </c>
      <c r="I56" s="26">
        <f t="shared" si="38"/>
        <v>0.48709685240403938</v>
      </c>
      <c r="J56" s="26">
        <f t="shared" si="38"/>
        <v>0.51684232331989721</v>
      </c>
      <c r="K56" s="26">
        <f t="shared" si="38"/>
        <v>0.54554936117047625</v>
      </c>
      <c r="L56" s="26">
        <f>+L49/L41</f>
        <v>0.57327357867954432</v>
      </c>
      <c r="M56" s="27">
        <f>+M49/M41</f>
        <v>0.58865158548780883</v>
      </c>
    </row>
    <row r="57" spans="2:14" ht="15.75" thickBot="1" x14ac:dyDescent="0.3"/>
    <row r="58" spans="2:14" ht="15.75" thickBot="1" x14ac:dyDescent="0.3">
      <c r="C58" s="64" t="s">
        <v>181</v>
      </c>
      <c r="G58" s="64" t="s">
        <v>180</v>
      </c>
      <c r="K58" s="64" t="s">
        <v>179</v>
      </c>
    </row>
    <row r="59" spans="2:14" x14ac:dyDescent="0.25">
      <c r="C59" s="31" t="s">
        <v>192</v>
      </c>
      <c r="D59" s="63">
        <f>+NPV(Cifras!T31,'Proyecto Financiado'!C61:C72)+('Proyecto Financiado'!C73*(1+'Proyecto Financiado'!B1)/(Cifras!T31-5%))</f>
        <v>32031010.631050274</v>
      </c>
      <c r="G59" s="31" t="s">
        <v>192</v>
      </c>
      <c r="H59" s="63">
        <f>+NPV(Cifras!T31,'Proyecto Financiado'!G61:G72)+('Proyecto Financiado'!G73*(1+'Proyecto Financiado'!B1)/(Cifras!T31-5%))</f>
        <v>-14603325.690742761</v>
      </c>
      <c r="K59" s="31" t="s">
        <v>192</v>
      </c>
      <c r="L59" s="63">
        <f>+NPV(Cifras!T31,'Proyecto Financiado'!K61:K72)+'Proyecto Financiado'!K73*(1+'Proyecto Financiado'!B1)/(Cifras!T31-5%)</f>
        <v>83858587.023665145</v>
      </c>
      <c r="N59" s="63">
        <f>+AVERAGE(L59,H59,D59)</f>
        <v>33762090.65465755</v>
      </c>
    </row>
    <row r="60" spans="2:14" x14ac:dyDescent="0.25">
      <c r="C60" s="31" t="s">
        <v>197</v>
      </c>
      <c r="D60" s="65">
        <f>+MIRR(C61:C73,Cifras!T28,Cifras!T19)</f>
        <v>2.3283837701197241E-2</v>
      </c>
      <c r="E60" s="31"/>
      <c r="G60" s="31" t="s">
        <v>197</v>
      </c>
      <c r="H60" s="65">
        <f>+MIRR(G61:G73,Cifras!T28,Cifras!T19)</f>
        <v>1.8286831051651742E-2</v>
      </c>
      <c r="K60" s="31" t="s">
        <v>197</v>
      </c>
      <c r="L60" s="65">
        <f>+MIRR(K61:K73,Cifras!T28,Cifras!T19)</f>
        <v>2.9281712207871902E-2</v>
      </c>
    </row>
    <row r="61" spans="2:14" x14ac:dyDescent="0.25">
      <c r="B61" s="1">
        <v>2016</v>
      </c>
      <c r="C61" s="32">
        <f>-Cifras!D6</f>
        <v>-182486662.36500001</v>
      </c>
      <c r="E61" s="32"/>
      <c r="F61" s="1">
        <v>2016</v>
      </c>
      <c r="G61" s="32">
        <f>+C61</f>
        <v>-182486662.36500001</v>
      </c>
      <c r="J61" s="1">
        <v>2016</v>
      </c>
      <c r="K61" s="32">
        <f>+G61</f>
        <v>-182486662.36500001</v>
      </c>
    </row>
    <row r="62" spans="2:14" x14ac:dyDescent="0.25">
      <c r="B62" s="1">
        <v>2016</v>
      </c>
      <c r="C62" s="32">
        <f>+Cifras!G6</f>
        <v>92486662.364999995</v>
      </c>
      <c r="E62" s="32"/>
      <c r="F62" s="1">
        <v>2016</v>
      </c>
      <c r="G62" s="32">
        <f>+C62</f>
        <v>92486662.364999995</v>
      </c>
      <c r="J62" s="1">
        <v>2016</v>
      </c>
      <c r="K62" s="32">
        <f>+G62</f>
        <v>92486662.364999995</v>
      </c>
    </row>
    <row r="63" spans="2:14" x14ac:dyDescent="0.25">
      <c r="B63" s="1">
        <v>2017</v>
      </c>
      <c r="C63" s="32">
        <v>-4033363.8949343702</v>
      </c>
      <c r="E63" s="32"/>
      <c r="F63" s="1">
        <v>2017</v>
      </c>
      <c r="G63" s="32">
        <v>-5784742.7592911171</v>
      </c>
      <c r="J63" s="1">
        <v>2017</v>
      </c>
      <c r="K63" s="32">
        <v>-2187926.0153060444</v>
      </c>
    </row>
    <row r="64" spans="2:14" x14ac:dyDescent="0.25">
      <c r="B64" s="1">
        <v>2018</v>
      </c>
      <c r="C64" s="32">
        <v>-4097677.79027871</v>
      </c>
      <c r="E64" s="32"/>
      <c r="F64" s="1">
        <v>2018</v>
      </c>
      <c r="G64" s="32">
        <v>-5837422.1815064671</v>
      </c>
      <c r="J64" s="1">
        <v>2018</v>
      </c>
      <c r="K64" s="32">
        <v>-2161475.4691537209</v>
      </c>
    </row>
    <row r="65" spans="2:11" x14ac:dyDescent="0.25">
      <c r="B65" s="1">
        <v>2019</v>
      </c>
      <c r="C65" s="32">
        <v>-3892195.2309904099</v>
      </c>
      <c r="E65" s="32"/>
      <c r="F65" s="1">
        <v>2019</v>
      </c>
      <c r="G65" s="32">
        <v>-5718926.8417795524</v>
      </c>
      <c r="I65" s="19"/>
      <c r="J65" s="1">
        <v>2019</v>
      </c>
      <c r="K65" s="32">
        <v>-1859182.7938091666</v>
      </c>
    </row>
    <row r="66" spans="2:11" x14ac:dyDescent="0.25">
      <c r="B66" s="1">
        <v>2020</v>
      </c>
      <c r="C66" s="32">
        <v>-3678685.12222492</v>
      </c>
      <c r="E66" s="32"/>
      <c r="F66" s="1">
        <v>2020</v>
      </c>
      <c r="G66" s="32">
        <v>-5596753.3135535251</v>
      </c>
      <c r="I66" s="13"/>
      <c r="J66" s="1">
        <v>2020</v>
      </c>
      <c r="K66" s="32">
        <v>-1544022.0631846248</v>
      </c>
    </row>
    <row r="67" spans="2:11" x14ac:dyDescent="0.25">
      <c r="B67" s="1">
        <v>2021</v>
      </c>
      <c r="C67" s="32">
        <v>-3456896.87709251</v>
      </c>
      <c r="E67" s="32"/>
      <c r="F67" s="1">
        <v>2021</v>
      </c>
      <c r="G67" s="32">
        <v>-5470868.4779875455</v>
      </c>
      <c r="I67" s="13"/>
      <c r="J67" s="1">
        <v>2021</v>
      </c>
      <c r="K67" s="32">
        <v>-1215500.6651002001</v>
      </c>
    </row>
    <row r="68" spans="2:11" x14ac:dyDescent="0.25">
      <c r="B68" s="1">
        <v>2022</v>
      </c>
      <c r="C68" s="32">
        <v>-3226577.5004387898</v>
      </c>
      <c r="E68" s="32"/>
      <c r="F68" s="1">
        <v>2022</v>
      </c>
      <c r="G68" s="32">
        <v>-5341247.681378575</v>
      </c>
      <c r="I68" s="13"/>
      <c r="J68" s="1">
        <v>2022</v>
      </c>
      <c r="K68" s="32">
        <v>-873111.47784685809</v>
      </c>
    </row>
    <row r="69" spans="2:11" x14ac:dyDescent="0.25">
      <c r="B69" s="1">
        <v>2023</v>
      </c>
      <c r="C69" s="32">
        <v>-2987472.1477593998</v>
      </c>
      <c r="E69" s="32"/>
      <c r="F69" s="1">
        <v>2023</v>
      </c>
      <c r="G69" s="32">
        <v>-5207875.8377461769</v>
      </c>
      <c r="I69" s="13"/>
      <c r="J69" s="1">
        <v>2023</v>
      </c>
      <c r="K69" s="32">
        <v>-516332.82403787505</v>
      </c>
    </row>
    <row r="70" spans="2:11" x14ac:dyDescent="0.25">
      <c r="B70" s="1">
        <v>2024</v>
      </c>
      <c r="C70" s="32">
        <v>-2739324.7576571899</v>
      </c>
      <c r="E70" s="32"/>
      <c r="F70" s="1">
        <v>2024</v>
      </c>
      <c r="G70" s="32">
        <v>-5070748.632143301</v>
      </c>
      <c r="I70" s="13"/>
      <c r="J70" s="1">
        <v>2024</v>
      </c>
      <c r="K70" s="32">
        <v>-144628.4677495833</v>
      </c>
    </row>
    <row r="71" spans="2:11" x14ac:dyDescent="0.25">
      <c r="B71" s="1">
        <v>2025</v>
      </c>
      <c r="C71" s="32">
        <v>-2481878.76457887</v>
      </c>
      <c r="E71" s="32"/>
      <c r="F71" s="1">
        <v>2025</v>
      </c>
      <c r="G71" s="32">
        <v>-4929873.8327892926</v>
      </c>
      <c r="I71" s="13"/>
      <c r="J71" s="1">
        <v>2025</v>
      </c>
      <c r="K71" s="32">
        <v>242552.33982411213</v>
      </c>
    </row>
    <row r="72" spans="2:11" x14ac:dyDescent="0.25">
      <c r="B72" s="1">
        <v>2026</v>
      </c>
      <c r="C72" s="32">
        <v>-2214877.8991116402</v>
      </c>
      <c r="E72" s="32"/>
      <c r="F72" s="1">
        <v>2026</v>
      </c>
      <c r="G72" s="32">
        <v>-4785272.720732579</v>
      </c>
      <c r="I72" s="13"/>
      <c r="J72" s="1">
        <v>2026</v>
      </c>
      <c r="K72" s="32">
        <v>645774.76051149168</v>
      </c>
    </row>
    <row r="73" spans="2:11" x14ac:dyDescent="0.25">
      <c r="B73" s="17" t="s">
        <v>193</v>
      </c>
      <c r="C73" s="32">
        <v>9724516.6893355194</v>
      </c>
      <c r="F73" s="17" t="s">
        <v>193</v>
      </c>
      <c r="G73" s="32">
        <v>7025602.126633537</v>
      </c>
      <c r="I73" s="13"/>
      <c r="J73" s="17" t="s">
        <v>193</v>
      </c>
      <c r="K73" s="32">
        <v>12728201.981939815</v>
      </c>
    </row>
    <row r="74" spans="2:11" x14ac:dyDescent="0.25">
      <c r="C74" s="13"/>
    </row>
    <row r="75" spans="2:11" x14ac:dyDescent="0.25">
      <c r="C75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"/>
  <sheetViews>
    <sheetView tabSelected="1" zoomScale="80" zoomScaleNormal="80" workbookViewId="0">
      <selection activeCell="B5" sqref="B5"/>
    </sheetView>
  </sheetViews>
  <sheetFormatPr baseColWidth="10" defaultColWidth="0" defaultRowHeight="15" zeroHeight="1" x14ac:dyDescent="0.25"/>
  <cols>
    <col min="1" max="1" width="3.140625" style="1" customWidth="1"/>
    <col min="2" max="2" width="22.140625" style="1" customWidth="1"/>
    <col min="3" max="4" width="11.42578125" style="1" customWidth="1"/>
    <col min="5" max="16384" width="11.42578125" style="1" hidden="1"/>
  </cols>
  <sheetData>
    <row r="1" spans="2:3" x14ac:dyDescent="0.25">
      <c r="B1" s="3" t="s">
        <v>144</v>
      </c>
    </row>
    <row r="2" spans="2:3" ht="15.75" thickBot="1" x14ac:dyDescent="0.3"/>
    <row r="3" spans="2:3" x14ac:dyDescent="0.25">
      <c r="B3" s="37" t="s">
        <v>198</v>
      </c>
      <c r="C3" s="28">
        <v>0.9</v>
      </c>
    </row>
    <row r="4" spans="2:3" x14ac:dyDescent="0.25">
      <c r="B4" s="38" t="s">
        <v>283</v>
      </c>
      <c r="C4" s="29">
        <v>0.05</v>
      </c>
    </row>
    <row r="5" spans="2:3" ht="15.75" thickBot="1" x14ac:dyDescent="0.3">
      <c r="B5" s="25" t="s">
        <v>284</v>
      </c>
      <c r="C5" s="30">
        <v>0.05</v>
      </c>
    </row>
    <row r="6" spans="2:3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C21"/>
  <sheetViews>
    <sheetView topLeftCell="B1" zoomScale="80" zoomScaleNormal="80" workbookViewId="0">
      <selection activeCell="D14" sqref="D14"/>
    </sheetView>
  </sheetViews>
  <sheetFormatPr baseColWidth="10" defaultColWidth="0" defaultRowHeight="15" zeroHeight="1" x14ac:dyDescent="0.25"/>
  <cols>
    <col min="1" max="1" width="11.42578125" style="1" hidden="1" customWidth="1"/>
    <col min="2" max="2" width="9.7109375" style="1" customWidth="1"/>
    <col min="3" max="3" width="85.28515625" style="1" customWidth="1"/>
    <col min="4" max="4" width="18.42578125" style="1" bestFit="1" customWidth="1"/>
    <col min="5" max="5" width="7.7109375" style="1" bestFit="1" customWidth="1"/>
    <col min="6" max="6" width="13.85546875" style="1" customWidth="1"/>
    <col min="7" max="7" width="4.42578125" style="1" customWidth="1"/>
    <col min="8" max="16383" width="11.42578125" style="1" hidden="1"/>
    <col min="16384" max="16384" width="4.5703125" style="1" customWidth="1"/>
  </cols>
  <sheetData>
    <row r="1" spans="2:6" x14ac:dyDescent="0.25"/>
    <row r="2" spans="2:6" x14ac:dyDescent="0.25">
      <c r="B2" s="44" t="s">
        <v>0</v>
      </c>
      <c r="C2" s="72" t="s">
        <v>201</v>
      </c>
    </row>
    <row r="3" spans="2:6" x14ac:dyDescent="0.25">
      <c r="B3" s="44" t="s">
        <v>199</v>
      </c>
      <c r="C3" s="72" t="s">
        <v>200</v>
      </c>
    </row>
    <row r="4" spans="2:6" x14ac:dyDescent="0.25">
      <c r="B4" s="3"/>
    </row>
    <row r="5" spans="2:6" x14ac:dyDescent="0.25">
      <c r="B5" s="3"/>
      <c r="C5" s="2" t="s">
        <v>2</v>
      </c>
    </row>
    <row r="6" spans="2:6" x14ac:dyDescent="0.25">
      <c r="B6" s="3"/>
      <c r="C6" s="2" t="s">
        <v>10</v>
      </c>
    </row>
    <row r="7" spans="2:6" x14ac:dyDescent="0.25">
      <c r="B7" s="3"/>
      <c r="C7" s="2" t="s">
        <v>142</v>
      </c>
    </row>
    <row r="8" spans="2:6" x14ac:dyDescent="0.25">
      <c r="B8" s="3"/>
      <c r="C8" s="2" t="s">
        <v>141</v>
      </c>
      <c r="D8" s="16">
        <v>0.05</v>
      </c>
      <c r="E8" s="16"/>
      <c r="F8" s="16"/>
    </row>
    <row r="9" spans="2:6" ht="15.75" thickBot="1" x14ac:dyDescent="0.3">
      <c r="B9" s="3"/>
    </row>
    <row r="10" spans="2:6" ht="15.75" thickBot="1" x14ac:dyDescent="0.3">
      <c r="C10" s="35" t="s">
        <v>149</v>
      </c>
      <c r="D10" s="40">
        <v>0.05</v>
      </c>
      <c r="E10" s="8"/>
      <c r="F10" s="8"/>
    </row>
    <row r="11" spans="2:6" ht="15.75" thickBot="1" x14ac:dyDescent="0.3">
      <c r="C11" s="36" t="s">
        <v>273</v>
      </c>
      <c r="D11" s="41">
        <v>26168.59</v>
      </c>
      <c r="E11" s="8"/>
      <c r="F11" s="8" t="s">
        <v>277</v>
      </c>
    </row>
    <row r="12" spans="2:6" ht="15.75" thickBot="1" x14ac:dyDescent="0.3">
      <c r="C12" s="35" t="s">
        <v>148</v>
      </c>
      <c r="D12" s="40">
        <v>5.6599999999999998E-2</v>
      </c>
      <c r="E12" s="40">
        <f>+D12*10</f>
        <v>0.56599999999999995</v>
      </c>
      <c r="F12" s="40">
        <f>+((1+D12/10)^10)-1</f>
        <v>5.8063577568980396E-2</v>
      </c>
    </row>
    <row r="13" spans="2:6" ht="15.75" thickBot="1" x14ac:dyDescent="0.3">
      <c r="C13" s="35" t="s">
        <v>150</v>
      </c>
      <c r="D13" s="40">
        <f>+AVERAGE(E16:E19)</f>
        <v>6.5174999999999997E-2</v>
      </c>
      <c r="E13" s="146">
        <f>+D13*10</f>
        <v>0.65174999999999994</v>
      </c>
      <c r="F13" s="27">
        <f>+((1+D13/10)^10)-1</f>
        <v>6.7120105069623959E-2</v>
      </c>
    </row>
    <row r="14" spans="2:6" x14ac:dyDescent="0.25"/>
    <row r="15" spans="2:6" ht="15.75" thickBot="1" x14ac:dyDescent="0.3"/>
    <row r="16" spans="2:6" ht="15.75" thickBot="1" x14ac:dyDescent="0.3">
      <c r="D16" s="40" t="s">
        <v>164</v>
      </c>
      <c r="E16" s="67">
        <v>4.3999999999999997E-2</v>
      </c>
      <c r="F16" s="145"/>
    </row>
    <row r="17" spans="4:6" ht="15.75" thickBot="1" x14ac:dyDescent="0.3">
      <c r="D17" s="40" t="s">
        <v>165</v>
      </c>
      <c r="E17" s="67">
        <v>4.5100000000000001E-2</v>
      </c>
      <c r="F17" s="145"/>
    </row>
    <row r="18" spans="4:6" ht="15.75" thickBot="1" x14ac:dyDescent="0.3">
      <c r="D18" s="40" t="s">
        <v>166</v>
      </c>
      <c r="E18" s="67">
        <v>0.12180000000000001</v>
      </c>
      <c r="F18" s="145"/>
    </row>
    <row r="19" spans="4:6" ht="15.75" thickBot="1" x14ac:dyDescent="0.3">
      <c r="D19" s="40" t="s">
        <v>167</v>
      </c>
      <c r="E19" s="67">
        <v>4.9799999999999997E-2</v>
      </c>
      <c r="F19" s="145"/>
    </row>
    <row r="20" spans="4:6" x14ac:dyDescent="0.25">
      <c r="D20" s="39"/>
    </row>
    <row r="21" spans="4:6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96"/>
  <sheetViews>
    <sheetView zoomScale="80" zoomScaleNormal="80" workbookViewId="0">
      <selection activeCell="K6" sqref="K6"/>
    </sheetView>
  </sheetViews>
  <sheetFormatPr baseColWidth="10" defaultColWidth="0" defaultRowHeight="15" zeroHeight="1" x14ac:dyDescent="0.25"/>
  <cols>
    <col min="1" max="1" width="3.140625" style="75" customWidth="1"/>
    <col min="2" max="2" width="34.28515625" style="75" customWidth="1"/>
    <col min="3" max="3" width="18" style="75" customWidth="1"/>
    <col min="4" max="4" width="6.28515625" style="75" customWidth="1"/>
    <col min="5" max="5" width="3.85546875" style="75" customWidth="1"/>
    <col min="6" max="6" width="19" style="75" customWidth="1"/>
    <col min="7" max="7" width="27.28515625" style="75" customWidth="1"/>
    <col min="8" max="8" width="27.85546875" style="75" customWidth="1"/>
    <col min="9" max="9" width="28.85546875" style="75" customWidth="1"/>
    <col min="10" max="10" width="11.42578125" style="75" customWidth="1"/>
    <col min="11" max="11" width="9.28515625" style="75" bestFit="1" customWidth="1"/>
    <col min="12" max="12" width="11.42578125" style="75" customWidth="1"/>
    <col min="13" max="22" width="0" style="75" hidden="1" customWidth="1"/>
    <col min="23" max="16384" width="11.42578125" style="75" hidden="1"/>
  </cols>
  <sheetData>
    <row r="1" spans="1:22" ht="15.75" thickBot="1" x14ac:dyDescent="0.3">
      <c r="A1" s="74"/>
      <c r="B1" s="74"/>
      <c r="C1" s="86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5.75" thickBot="1" x14ac:dyDescent="0.3">
      <c r="A2" s="74"/>
      <c r="B2" s="74"/>
      <c r="C2" s="74"/>
      <c r="D2" s="74"/>
      <c r="E2" s="86"/>
      <c r="F2" s="87" t="s">
        <v>202</v>
      </c>
      <c r="G2" s="76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x14ac:dyDescent="0.25">
      <c r="A3" s="74"/>
      <c r="B3" s="74"/>
      <c r="C3" s="86">
        <f>DATE(2016,6,22)</f>
        <v>42543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5.75" thickBot="1" x14ac:dyDescent="0.3">
      <c r="A4" s="74"/>
      <c r="B4" s="74"/>
      <c r="C4" s="79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4.1" customHeight="1" x14ac:dyDescent="0.25">
      <c r="A5" s="74"/>
      <c r="B5" s="88" t="s">
        <v>203</v>
      </c>
      <c r="D5" s="74"/>
      <c r="E5" s="74"/>
      <c r="F5" s="89" t="s">
        <v>204</v>
      </c>
      <c r="G5" s="89"/>
      <c r="H5" s="89"/>
      <c r="I5" s="80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ht="14.1" customHeight="1" x14ac:dyDescent="0.25">
      <c r="A6" s="74"/>
      <c r="B6" s="140" t="s">
        <v>205</v>
      </c>
      <c r="C6" s="153" t="s">
        <v>206</v>
      </c>
      <c r="D6" s="74"/>
      <c r="E6" s="74"/>
      <c r="F6" s="91" t="s">
        <v>207</v>
      </c>
      <c r="G6" s="80"/>
      <c r="H6" s="80"/>
      <c r="I6" s="80">
        <v>43000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14.1" customHeight="1" x14ac:dyDescent="0.25">
      <c r="A7" s="74"/>
      <c r="B7" s="140" t="s">
        <v>208</v>
      </c>
      <c r="C7" s="153">
        <v>209</v>
      </c>
      <c r="D7" s="74"/>
      <c r="E7" s="74"/>
      <c r="F7" s="91" t="s">
        <v>209</v>
      </c>
      <c r="G7" s="80"/>
      <c r="H7" s="80"/>
      <c r="I7" s="81">
        <v>0.33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ht="16.5" customHeight="1" x14ac:dyDescent="0.25">
      <c r="A8" s="74"/>
      <c r="B8" s="140" t="s">
        <v>210</v>
      </c>
      <c r="C8" s="153" t="s">
        <v>211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x14ac:dyDescent="0.25">
      <c r="A9" s="74"/>
      <c r="B9" s="140" t="s">
        <v>212</v>
      </c>
      <c r="C9" s="153" t="s">
        <v>211</v>
      </c>
      <c r="D9" s="74"/>
      <c r="E9" s="74"/>
      <c r="F9" s="92" t="s">
        <v>213</v>
      </c>
      <c r="G9" s="93" t="s">
        <v>214</v>
      </c>
      <c r="H9" s="93" t="s">
        <v>215</v>
      </c>
      <c r="I9" s="93" t="s">
        <v>216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22" x14ac:dyDescent="0.25">
      <c r="A10" s="74"/>
      <c r="B10" s="140" t="s">
        <v>217</v>
      </c>
      <c r="C10" s="153" t="s">
        <v>218</v>
      </c>
      <c r="D10" s="74"/>
      <c r="E10" s="74"/>
      <c r="F10" s="93" t="s">
        <v>219</v>
      </c>
      <c r="G10" s="94">
        <f>I6*10</f>
        <v>430000</v>
      </c>
      <c r="H10" s="95">
        <f>I6*14</f>
        <v>602000</v>
      </c>
      <c r="I10" s="96">
        <f>I6*25</f>
        <v>1075000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2" ht="19.5" customHeight="1" x14ac:dyDescent="0.25">
      <c r="A11" s="74"/>
      <c r="B11" s="140" t="s">
        <v>220</v>
      </c>
      <c r="C11" s="154">
        <f>SUM(C12:C13)</f>
        <v>46.73</v>
      </c>
      <c r="D11" s="74"/>
      <c r="E11" s="74"/>
      <c r="F11" s="91" t="s">
        <v>221</v>
      </c>
      <c r="G11" s="96">
        <f>G10*$I$7</f>
        <v>141900</v>
      </c>
      <c r="H11" s="96">
        <f>H10*$I$7</f>
        <v>198660</v>
      </c>
      <c r="I11" s="96">
        <f>I10*$I$7</f>
        <v>354750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spans="1:22" ht="20.25" customHeight="1" x14ac:dyDescent="0.25">
      <c r="A12" s="74"/>
      <c r="B12" s="140" t="s">
        <v>222</v>
      </c>
      <c r="C12" s="153">
        <v>40.04</v>
      </c>
      <c r="D12" s="74"/>
      <c r="E12" s="74"/>
      <c r="F12" s="91" t="s">
        <v>223</v>
      </c>
      <c r="G12" s="96">
        <f>C39</f>
        <v>257550.08484208994</v>
      </c>
      <c r="H12" s="96">
        <f>C39</f>
        <v>257550.08484208994</v>
      </c>
      <c r="I12" s="96">
        <f>C39</f>
        <v>257550.08484208994</v>
      </c>
      <c r="J12" s="74"/>
      <c r="K12" s="98">
        <f>+G12+50000</f>
        <v>307550.08484208991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22" ht="18" customHeight="1" thickBot="1" x14ac:dyDescent="0.3">
      <c r="A13" s="74"/>
      <c r="B13" s="140" t="s">
        <v>224</v>
      </c>
      <c r="C13" s="153">
        <v>6.69</v>
      </c>
      <c r="D13" s="74"/>
      <c r="E13" s="74"/>
      <c r="F13" s="91" t="s">
        <v>225</v>
      </c>
      <c r="G13" s="96">
        <f>G10-G11-G12</f>
        <v>30549.915157910058</v>
      </c>
      <c r="H13" s="96">
        <f>H10-H11-H12</f>
        <v>145789.91515791006</v>
      </c>
      <c r="I13" s="96">
        <f>I10-I11-I12</f>
        <v>462699.91515791009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2" ht="14.1" customHeight="1" thickBot="1" x14ac:dyDescent="0.3">
      <c r="A14" s="74"/>
      <c r="B14" s="155" t="s">
        <v>226</v>
      </c>
      <c r="C14" s="156"/>
      <c r="D14" s="74"/>
      <c r="E14" s="74"/>
      <c r="F14" s="91" t="s">
        <v>227</v>
      </c>
      <c r="G14" s="96">
        <f>G12+G13</f>
        <v>288100</v>
      </c>
      <c r="H14" s="96">
        <f>H12+H13</f>
        <v>403340</v>
      </c>
      <c r="I14" s="96">
        <f>I12+I13</f>
        <v>720250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</row>
    <row r="15" spans="1:22" ht="14.1" customHeight="1" x14ac:dyDescent="0.25">
      <c r="A15" s="74"/>
      <c r="B15" s="99" t="s">
        <v>228</v>
      </c>
      <c r="C15" s="100">
        <v>2324.5</v>
      </c>
      <c r="D15" s="101" t="s">
        <v>229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22" ht="14.1" customHeight="1" x14ac:dyDescent="0.25">
      <c r="A16" s="74"/>
      <c r="B16" s="102" t="s">
        <v>230</v>
      </c>
      <c r="C16" s="103">
        <v>0</v>
      </c>
      <c r="D16" s="97" t="s">
        <v>229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ht="30" x14ac:dyDescent="0.25">
      <c r="A17" s="74"/>
      <c r="B17" s="102" t="s">
        <v>231</v>
      </c>
      <c r="C17" s="100">
        <v>0</v>
      </c>
      <c r="D17" s="97" t="s">
        <v>229</v>
      </c>
      <c r="E17" s="74"/>
      <c r="F17" s="104" t="s">
        <v>232</v>
      </c>
      <c r="G17" s="93" t="s">
        <v>233</v>
      </c>
      <c r="H17" s="82">
        <f>(12*G13)/C19</f>
        <v>6.0656777813954885E-3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22" ht="30" x14ac:dyDescent="0.25">
      <c r="A18" s="74"/>
      <c r="B18" s="102" t="s">
        <v>234</v>
      </c>
      <c r="C18" s="105">
        <f>SUM(C15:C17)</f>
        <v>2324.5</v>
      </c>
      <c r="D18" s="97" t="s">
        <v>229</v>
      </c>
      <c r="E18" s="74"/>
      <c r="F18" s="91"/>
      <c r="G18" s="93" t="s">
        <v>235</v>
      </c>
      <c r="H18" s="82">
        <f>(12*H13)/C19</f>
        <v>2.894655008218245E-2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</row>
    <row r="19" spans="1:22" x14ac:dyDescent="0.25">
      <c r="A19" s="74"/>
      <c r="B19" s="102" t="s">
        <v>236</v>
      </c>
      <c r="C19" s="105">
        <f>C48*C18</f>
        <v>60438255.230000004</v>
      </c>
      <c r="D19" s="97" t="s">
        <v>237</v>
      </c>
      <c r="E19" s="74"/>
      <c r="F19" s="91"/>
      <c r="G19" s="93" t="s">
        <v>238</v>
      </c>
      <c r="H19" s="82">
        <f>(12*I13)/C19</f>
        <v>9.1868948909346618E-2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1:22" ht="14.1" customHeight="1" x14ac:dyDescent="0.25">
      <c r="A20" s="74"/>
      <c r="B20" s="102" t="s">
        <v>239</v>
      </c>
      <c r="C20" s="90">
        <v>15</v>
      </c>
      <c r="D20" s="97" t="s">
        <v>240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2" ht="14.1" customHeight="1" x14ac:dyDescent="0.25">
      <c r="A21" s="74"/>
      <c r="B21" s="106" t="s">
        <v>241</v>
      </c>
      <c r="C21" s="107">
        <f>C18*C20/100</f>
        <v>348.67500000000001</v>
      </c>
      <c r="D21" s="97" t="s">
        <v>229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1:22" ht="14.1" customHeight="1" x14ac:dyDescent="0.25">
      <c r="A22" s="74"/>
      <c r="B22" s="106" t="s">
        <v>242</v>
      </c>
      <c r="C22" s="108">
        <f>C21*C48</f>
        <v>9065738.284500001</v>
      </c>
      <c r="D22" s="97" t="s">
        <v>237</v>
      </c>
      <c r="E22" s="74"/>
      <c r="F22" s="83">
        <v>90000000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2" ht="14.1" customHeight="1" x14ac:dyDescent="0.25">
      <c r="A23" s="74"/>
      <c r="B23" s="106" t="s">
        <v>243</v>
      </c>
      <c r="C23" s="100">
        <v>400000</v>
      </c>
      <c r="D23" s="109" t="s">
        <v>237</v>
      </c>
      <c r="E23" s="74"/>
      <c r="F23" s="84">
        <f>+F22/C24</f>
        <v>10.385727914375025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2" ht="14.1" customHeight="1" x14ac:dyDescent="0.25">
      <c r="A24" s="74"/>
      <c r="B24" s="110" t="s">
        <v>244</v>
      </c>
      <c r="C24" s="111">
        <f>C22-C23</f>
        <v>8665738.284500001</v>
      </c>
      <c r="D24" s="97" t="s">
        <v>237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ht="14.1" customHeight="1" x14ac:dyDescent="0.25">
      <c r="A25" s="74"/>
      <c r="B25" s="112" t="s">
        <v>245</v>
      </c>
      <c r="C25" s="113">
        <f>C24/C48</f>
        <v>333.29070413537568</v>
      </c>
      <c r="D25" s="97" t="s">
        <v>229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 ht="14.1" customHeight="1" x14ac:dyDescent="0.25">
      <c r="A26" s="74"/>
      <c r="B26" s="106" t="s">
        <v>246</v>
      </c>
      <c r="C26" s="114">
        <v>19</v>
      </c>
      <c r="D26" s="11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 ht="14.1" customHeight="1" x14ac:dyDescent="0.25">
      <c r="A27" s="74"/>
      <c r="B27" s="106" t="s">
        <v>247</v>
      </c>
      <c r="C27" s="108">
        <f>C28*C48</f>
        <v>456091.48865789478</v>
      </c>
      <c r="D27" s="97" t="s">
        <v>237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1:22" ht="14.1" customHeight="1" thickBot="1" x14ac:dyDescent="0.3">
      <c r="A28" s="74"/>
      <c r="B28" s="106" t="s">
        <v>248</v>
      </c>
      <c r="C28" s="113">
        <f>C25/C26</f>
        <v>17.541616007125036</v>
      </c>
      <c r="D28" s="97" t="s">
        <v>229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ht="14.1" customHeight="1" thickBot="1" x14ac:dyDescent="0.3">
      <c r="A29" s="74"/>
      <c r="B29" s="116" t="s">
        <v>249</v>
      </c>
      <c r="C29" s="117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ht="14.1" customHeight="1" x14ac:dyDescent="0.25">
      <c r="A30" s="74"/>
      <c r="B30" s="118" t="s">
        <v>250</v>
      </c>
      <c r="C30" s="119">
        <f>C18</f>
        <v>2324.5</v>
      </c>
      <c r="D30" s="97" t="s">
        <v>229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 ht="14.1" customHeight="1" x14ac:dyDescent="0.25">
      <c r="A31" s="74"/>
      <c r="B31" s="118" t="s">
        <v>251</v>
      </c>
      <c r="C31" s="120">
        <f>C20</f>
        <v>15</v>
      </c>
      <c r="D31" s="97" t="s">
        <v>240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 ht="14.1" customHeight="1" x14ac:dyDescent="0.25">
      <c r="A32" s="74"/>
      <c r="B32" s="118" t="s">
        <v>252</v>
      </c>
      <c r="C32" s="120">
        <f>100-C31</f>
        <v>85</v>
      </c>
      <c r="D32" s="97" t="s">
        <v>240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 ht="14.1" customHeight="1" x14ac:dyDescent="0.25">
      <c r="A33" s="74"/>
      <c r="B33" s="118" t="s">
        <v>253</v>
      </c>
      <c r="C33" s="121">
        <f>C30*C32/100</f>
        <v>1975.825</v>
      </c>
      <c r="D33" s="97" t="s">
        <v>229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ht="14.1" customHeight="1" x14ac:dyDescent="0.25">
      <c r="A34" s="74"/>
      <c r="B34" s="118" t="s">
        <v>254</v>
      </c>
      <c r="C34" s="122">
        <v>4.4999999999999998E-2</v>
      </c>
      <c r="D34" s="97" t="s">
        <v>240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ht="14.1" customHeight="1" x14ac:dyDescent="0.25">
      <c r="A35" s="74"/>
      <c r="B35" s="118" t="s">
        <v>255</v>
      </c>
      <c r="C35" s="123">
        <f>+(1+C34)^(1/12)-1</f>
        <v>3.6748094004368514E-3</v>
      </c>
      <c r="D35" s="97" t="s">
        <v>240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4.1" customHeight="1" x14ac:dyDescent="0.25">
      <c r="A36" s="74"/>
      <c r="B36" s="118" t="s">
        <v>256</v>
      </c>
      <c r="C36" s="100">
        <v>30</v>
      </c>
      <c r="D36" s="12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4.1" customHeight="1" x14ac:dyDescent="0.25">
      <c r="A37" s="74"/>
      <c r="B37" s="118" t="s">
        <v>257</v>
      </c>
      <c r="C37" s="121">
        <f>+C36*12</f>
        <v>360</v>
      </c>
      <c r="D37" s="12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ht="14.1" customHeight="1" x14ac:dyDescent="0.25">
      <c r="A38" s="74"/>
      <c r="B38" s="118" t="s">
        <v>258</v>
      </c>
      <c r="C38" s="121">
        <f>+C33*((C35*(1+C35)^C37)/((1+C35)^C37-1))</f>
        <v>9.9055667629245363</v>
      </c>
      <c r="D38" s="97" t="s">
        <v>229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ht="14.1" customHeight="1" x14ac:dyDescent="0.25">
      <c r="A39" s="74"/>
      <c r="B39" s="118" t="s">
        <v>258</v>
      </c>
      <c r="C39" s="125">
        <f>C38*C48</f>
        <v>257550.08484208994</v>
      </c>
      <c r="D39" s="97" t="s">
        <v>237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ht="14.1" customHeight="1" x14ac:dyDescent="0.25">
      <c r="A40" s="74"/>
      <c r="B40" s="126" t="s">
        <v>259</v>
      </c>
      <c r="C40" s="127">
        <f>C38*12</f>
        <v>118.86680115509444</v>
      </c>
      <c r="D40" s="97" t="s">
        <v>229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ht="14.1" customHeight="1" thickBot="1" x14ac:dyDescent="0.3">
      <c r="A41" s="74"/>
      <c r="B41" s="118" t="s">
        <v>260</v>
      </c>
      <c r="C41" s="128">
        <f>C40*C48</f>
        <v>3090601.018105079</v>
      </c>
      <c r="D41" s="97" t="s">
        <v>237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ht="14.1" customHeight="1" thickBot="1" x14ac:dyDescent="0.3">
      <c r="A42" s="74"/>
      <c r="B42" s="155" t="s">
        <v>261</v>
      </c>
      <c r="C42" s="157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ht="14.1" customHeight="1" x14ac:dyDescent="0.25">
      <c r="A43" s="74"/>
      <c r="B43" s="118" t="s">
        <v>262</v>
      </c>
      <c r="C43" s="121">
        <f>C18</f>
        <v>2324.5</v>
      </c>
      <c r="D43" s="97" t="s">
        <v>229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 ht="14.1" customHeight="1" x14ac:dyDescent="0.25">
      <c r="A44" s="74"/>
      <c r="B44" s="118" t="s">
        <v>262</v>
      </c>
      <c r="C44" s="108">
        <f>C43*C48</f>
        <v>60438255.230000004</v>
      </c>
      <c r="D44" s="97" t="s">
        <v>237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4.1" customHeight="1" x14ac:dyDescent="0.25">
      <c r="A45" s="74"/>
      <c r="B45" s="118" t="s">
        <v>263</v>
      </c>
      <c r="C45" s="90">
        <v>0</v>
      </c>
      <c r="D45" s="97" t="s">
        <v>240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ht="14.1" customHeight="1" thickBot="1" x14ac:dyDescent="0.3">
      <c r="A46" s="74"/>
      <c r="B46" s="118" t="s">
        <v>264</v>
      </c>
      <c r="C46" s="129">
        <f>C44*C45/100</f>
        <v>0</v>
      </c>
      <c r="D46" s="97" t="s">
        <v>237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ht="14.1" customHeight="1" thickBot="1" x14ac:dyDescent="0.3">
      <c r="A47" s="74"/>
      <c r="B47" s="130" t="s">
        <v>265</v>
      </c>
      <c r="C47" s="131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ht="14.1" customHeight="1" x14ac:dyDescent="0.25">
      <c r="A48" s="74"/>
      <c r="B48" s="132" t="s">
        <v>266</v>
      </c>
      <c r="C48" s="133">
        <v>26000.54</v>
      </c>
      <c r="D48" s="134"/>
      <c r="E48" s="73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ht="14.1" customHeight="1" x14ac:dyDescent="0.25">
      <c r="A49" s="74"/>
      <c r="B49" s="132" t="s">
        <v>267</v>
      </c>
      <c r="C49" s="135">
        <v>0</v>
      </c>
      <c r="D49" s="13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ht="14.1" customHeight="1" x14ac:dyDescent="0.25">
      <c r="A50" s="74"/>
      <c r="B50" s="132" t="s">
        <v>268</v>
      </c>
      <c r="C50" s="136">
        <f>IF(AND(C49 &gt;= 400000,C49&lt;=1500000),50,IF(AND(C49 &gt;= 1500000,C49&lt;=3000000),55,60))</f>
        <v>60</v>
      </c>
      <c r="D50" s="13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ht="14.1" customHeight="1" x14ac:dyDescent="0.25">
      <c r="A51" s="74"/>
      <c r="B51" s="132" t="s">
        <v>269</v>
      </c>
      <c r="C51" s="137">
        <f>C49*C50</f>
        <v>0</v>
      </c>
      <c r="D51" s="13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4.1" customHeight="1" x14ac:dyDescent="0.25">
      <c r="A52" s="74"/>
      <c r="B52" s="132" t="s">
        <v>270</v>
      </c>
      <c r="C52" s="135">
        <v>0</v>
      </c>
      <c r="D52" s="13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</row>
    <row r="53" spans="1:22" ht="14.1" customHeight="1" x14ac:dyDescent="0.25">
      <c r="A53" s="74"/>
      <c r="B53" s="138" t="s">
        <v>271</v>
      </c>
      <c r="C53" s="139">
        <f>C51-C52</f>
        <v>0</v>
      </c>
      <c r="D53" s="97" t="s">
        <v>237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</row>
    <row r="54" spans="1:22" ht="14.1" customHeight="1" x14ac:dyDescent="0.25">
      <c r="A54" s="74"/>
      <c r="B54" s="138" t="s">
        <v>272</v>
      </c>
      <c r="C54" s="139">
        <f>C53/C48</f>
        <v>0</v>
      </c>
      <c r="D54" s="97" t="s">
        <v>229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</row>
    <row r="55" spans="1:22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</row>
    <row r="56" spans="1:22" hidden="1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</row>
    <row r="57" spans="1:22" hidden="1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</row>
    <row r="58" spans="1:22" hidden="1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hidden="1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hidden="1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hidden="1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 hidden="1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</row>
    <row r="63" spans="1:22" hidden="1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</row>
    <row r="64" spans="1:22" hidden="1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</row>
    <row r="65" spans="1:22" hidden="1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</row>
    <row r="66" spans="1:22" hidden="1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</row>
    <row r="67" spans="1:22" hidden="1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</row>
    <row r="68" spans="1:22" hidden="1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</row>
    <row r="69" spans="1:22" hidden="1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22" hidden="1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hidden="1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22" hidden="1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</row>
    <row r="73" spans="1:22" hidden="1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</row>
    <row r="74" spans="1:22" hidden="1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</row>
    <row r="75" spans="1:22" hidden="1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22" hidden="1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</row>
    <row r="77" spans="1:22" hidden="1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hidden="1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</row>
    <row r="79" spans="1:22" hidden="1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2" hidden="1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 hidden="1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 hidden="1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 hidden="1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 hidden="1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 hidden="1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 hidden="1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1:22" hidden="1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1:22" hidden="1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1:22" hidden="1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1:22" hidden="1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1:22" hidden="1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1:22" hidden="1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1:22" hidden="1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1:22" hidden="1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1:22" hidden="1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1:22" hidden="1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1:22" hidden="1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1:22" hidden="1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1:22" hidden="1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1:22" hidden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1:22" hidden="1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1:22" hidden="1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1:22" hidden="1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1:22" hidden="1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1:22" hidden="1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1:22" hidden="1" x14ac:dyDescent="0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1:22" hidden="1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1:22" hidden="1" x14ac:dyDescent="0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1:22" hidden="1" x14ac:dyDescent="0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1:22" hidden="1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1:22" hidden="1" x14ac:dyDescent="0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1:22" hidden="1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1:22" hidden="1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1:22" hidden="1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1:22" hidden="1" x14ac:dyDescent="0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1:22" hidden="1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1:22" hidden="1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1:22" hidden="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1:22" hidden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1:22" hidden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1:22" hidden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1:22" hidden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1:22" hidden="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1:22" hidden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1:22" hidden="1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1:22" hidden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1:22" hidden="1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1:22" hidden="1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1:22" hidden="1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1:22" hidden="1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1:22" hidden="1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1:22" hidden="1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1:22" hidden="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1:22" hidden="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1:22" hidden="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1:22" hidden="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1:22" hidden="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1:22" hidden="1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1:22" hidden="1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1:22" hidden="1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1:22" hidden="1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1:22" hidden="1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1:22" hidden="1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1:22" hidden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1:22" hidden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1:22" hidden="1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1:22" hidden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1:22" hidden="1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1:22" hidden="1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1:22" hidden="1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1:22" hidden="1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1:22" hidden="1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1:22" hidden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1:22" hidden="1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1:22" hidden="1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1:22" hidden="1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1:22" hidden="1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1:22" hidden="1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1:22" hidden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1:22" hidden="1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1:22" hidden="1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1:22" hidden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1:22" hidden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1:22" hidden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1:22" hidden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1:22" hidden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1:22" hidden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1:22" hidden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1:22" hidden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1:22" hidden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1:22" hidden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1:22" hidden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1:22" hidden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1:22" hidden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1:22" hidden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1:22" hidden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1:22" hidden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1:22" hidden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1:22" hidden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1:22" hidden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1:22" hidden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1:22" hidden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1:22" hidden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1:22" hidden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1:22" hidden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1:22" hidden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1:22" hidden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1:22" hidden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1:22" hidden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1:22" hidden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1:22" hidden="1" x14ac:dyDescent="0.25"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1:22" hidden="1" x14ac:dyDescent="0.25"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9:22" hidden="1" x14ac:dyDescent="0.25"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9:22" hidden="1" x14ac:dyDescent="0.25"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9:22" hidden="1" x14ac:dyDescent="0.25"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9:22" hidden="1" x14ac:dyDescent="0.25"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</sheetData>
  <mergeCells count="2">
    <mergeCell ref="B14:C14"/>
    <mergeCell ref="B42:C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C1048527"/>
  <sheetViews>
    <sheetView topLeftCell="A5" zoomScale="80" zoomScaleNormal="80" workbookViewId="0">
      <selection activeCell="A5" sqref="A5"/>
    </sheetView>
  </sheetViews>
  <sheetFormatPr baseColWidth="10" defaultRowHeight="15" x14ac:dyDescent="0.25"/>
  <cols>
    <col min="1" max="1" width="2.85546875" style="1" customWidth="1"/>
    <col min="2" max="2" width="11.85546875" style="1" customWidth="1"/>
    <col min="3" max="3" width="15" style="1" customWidth="1"/>
    <col min="4" max="4" width="16.140625" style="1" customWidth="1"/>
    <col min="5" max="5" width="16.42578125" style="1" customWidth="1"/>
    <col min="6" max="6" width="17.5703125" style="1" customWidth="1"/>
    <col min="7" max="7" width="15.85546875" style="1" customWidth="1"/>
    <col min="8" max="8" width="15.42578125" style="1" customWidth="1"/>
    <col min="9" max="10" width="14.5703125" style="1" customWidth="1"/>
    <col min="11" max="11" width="14.140625" style="1" customWidth="1"/>
    <col min="12" max="12" width="14.7109375" style="1" bestFit="1" customWidth="1"/>
    <col min="13" max="13" width="13.7109375" style="1" customWidth="1"/>
    <col min="14" max="14" width="13.5703125" style="1" customWidth="1"/>
    <col min="15" max="15" width="12.42578125" style="1" customWidth="1"/>
    <col min="16" max="16" width="12" style="1" bestFit="1" customWidth="1"/>
    <col min="17" max="17" width="5.140625" style="1" customWidth="1"/>
    <col min="18" max="18" width="11.42578125" style="1" customWidth="1"/>
    <col min="19" max="19" width="11.7109375" style="1" customWidth="1"/>
    <col min="20" max="20" width="12.85546875" style="1" customWidth="1"/>
    <col min="21" max="21" width="11.42578125" style="1"/>
    <col min="22" max="22" width="13.140625" style="1" customWidth="1"/>
    <col min="23" max="23" width="12.42578125" style="1" customWidth="1"/>
    <col min="24" max="24" width="12.28515625" style="1" customWidth="1"/>
    <col min="25" max="25" width="12" style="1" customWidth="1"/>
    <col min="26" max="26" width="12.5703125" style="1" customWidth="1"/>
    <col min="27" max="27" width="11.42578125" style="1"/>
    <col min="28" max="28" width="12.7109375" style="1" bestFit="1" customWidth="1"/>
    <col min="29" max="29" width="13.140625" style="1" bestFit="1" customWidth="1"/>
    <col min="30" max="16384" width="11.42578125" style="1"/>
  </cols>
  <sheetData>
    <row r="1" spans="2:21" x14ac:dyDescent="0.25">
      <c r="B1" s="3" t="s">
        <v>14</v>
      </c>
      <c r="L1" s="3" t="s">
        <v>151</v>
      </c>
    </row>
    <row r="2" spans="2:21" ht="30" x14ac:dyDescent="0.25">
      <c r="B2" s="7" t="s">
        <v>3</v>
      </c>
      <c r="C2" s="7" t="s">
        <v>4</v>
      </c>
      <c r="D2" s="7" t="s">
        <v>5</v>
      </c>
      <c r="E2" s="11" t="s">
        <v>146</v>
      </c>
      <c r="F2" s="11" t="s">
        <v>147</v>
      </c>
      <c r="G2" s="11" t="s">
        <v>11</v>
      </c>
      <c r="H2" s="7" t="s">
        <v>276</v>
      </c>
      <c r="I2" s="15"/>
      <c r="L2" s="44" t="s">
        <v>274</v>
      </c>
      <c r="M2" s="45">
        <f>+E3/D3</f>
        <v>0.49318672846340322</v>
      </c>
    </row>
    <row r="3" spans="2:21" ht="15.75" thickBot="1" x14ac:dyDescent="0.3">
      <c r="B3" s="5">
        <v>1</v>
      </c>
      <c r="C3" s="9">
        <f>+'Departamento Tipo'!$C$43</f>
        <v>2324.5</v>
      </c>
      <c r="D3" s="9">
        <f>+C3*Negocio!$D$11*B3</f>
        <v>60828887.454999998</v>
      </c>
      <c r="E3" s="9">
        <f>+$M$7</f>
        <v>30000000</v>
      </c>
      <c r="F3" s="9">
        <f>+D3*$M$2</f>
        <v>30000000</v>
      </c>
      <c r="G3" s="9">
        <f>+D3*$M$3</f>
        <v>30828887.454999994</v>
      </c>
      <c r="H3" s="144" t="s">
        <v>0</v>
      </c>
      <c r="I3" s="10"/>
      <c r="L3" s="44" t="s">
        <v>143</v>
      </c>
      <c r="M3" s="142">
        <f>100%-M2</f>
        <v>0.50681327153659672</v>
      </c>
    </row>
    <row r="4" spans="2:21" ht="15.75" thickTop="1" x14ac:dyDescent="0.25">
      <c r="B4" s="5">
        <v>1</v>
      </c>
      <c r="C4" s="9">
        <f>+C3</f>
        <v>2324.5</v>
      </c>
      <c r="D4" s="9">
        <f>+C4*Negocio!$D$11*B4</f>
        <v>60828887.454999998</v>
      </c>
      <c r="E4" s="9">
        <f>+$M$7</f>
        <v>30000000</v>
      </c>
      <c r="F4" s="9">
        <f>+D4*$M$2</f>
        <v>30000000</v>
      </c>
      <c r="G4" s="9">
        <f>+D4*$M$3</f>
        <v>30828887.454999994</v>
      </c>
      <c r="H4" s="144" t="s">
        <v>0</v>
      </c>
      <c r="I4" s="10"/>
      <c r="M4" s="143">
        <f>SUM(M2:M3)</f>
        <v>1</v>
      </c>
    </row>
    <row r="5" spans="2:21" x14ac:dyDescent="0.25">
      <c r="B5" s="5">
        <v>1</v>
      </c>
      <c r="C5" s="9">
        <f>+C4</f>
        <v>2324.5</v>
      </c>
      <c r="D5" s="9">
        <f>+C5*Negocio!$D$11*B5</f>
        <v>60828887.454999998</v>
      </c>
      <c r="E5" s="9">
        <f>+$M$7</f>
        <v>30000000</v>
      </c>
      <c r="F5" s="9">
        <f>+D5*$M$2</f>
        <v>30000000</v>
      </c>
      <c r="G5" s="9">
        <f>+D5*$M$3</f>
        <v>30828887.454999994</v>
      </c>
      <c r="H5" s="144" t="s">
        <v>199</v>
      </c>
      <c r="I5" s="10"/>
    </row>
    <row r="6" spans="2:21" x14ac:dyDescent="0.25">
      <c r="B6" s="8"/>
      <c r="C6" s="42" t="s">
        <v>12</v>
      </c>
      <c r="D6" s="43">
        <f>SUM(D3:D5)</f>
        <v>182486662.36500001</v>
      </c>
      <c r="E6" s="43">
        <f>SUM(E3:E5)</f>
        <v>90000000</v>
      </c>
      <c r="F6" s="34">
        <f>+D6*$M$2</f>
        <v>90000000</v>
      </c>
      <c r="G6" s="34">
        <f>+D6*$M$3</f>
        <v>92486662.364999995</v>
      </c>
      <c r="H6" s="13"/>
      <c r="I6" s="14"/>
      <c r="L6" s="3" t="s">
        <v>275</v>
      </c>
    </row>
    <row r="7" spans="2:21" x14ac:dyDescent="0.25">
      <c r="L7" s="44" t="str">
        <f>+L2</f>
        <v>Capitalista</v>
      </c>
      <c r="M7" s="85">
        <f>1/3*90000000</f>
        <v>30000000</v>
      </c>
    </row>
    <row r="8" spans="2:21" ht="15.75" thickBot="1" x14ac:dyDescent="0.3">
      <c r="E8" s="8"/>
      <c r="F8" s="33"/>
      <c r="G8" s="12"/>
      <c r="H8" s="33"/>
      <c r="I8" s="8"/>
      <c r="L8" s="44" t="str">
        <f>+L3</f>
        <v>Sociedad</v>
      </c>
      <c r="M8" s="141">
        <f>+G3</f>
        <v>30828887.454999994</v>
      </c>
    </row>
    <row r="9" spans="2:21" ht="15.75" thickTop="1" x14ac:dyDescent="0.25">
      <c r="B9" s="3" t="s">
        <v>145</v>
      </c>
      <c r="C9" s="1" t="s">
        <v>159</v>
      </c>
      <c r="F9" s="33"/>
      <c r="G9" s="33"/>
      <c r="H9" s="33"/>
      <c r="I9" s="8"/>
      <c r="M9" s="13">
        <f>SUM(M7:M8)</f>
        <v>60828887.454999998</v>
      </c>
    </row>
    <row r="10" spans="2:21" x14ac:dyDescent="0.25">
      <c r="B10" s="3" t="s">
        <v>158</v>
      </c>
      <c r="F10" s="16"/>
      <c r="G10" s="16"/>
      <c r="H10" s="16"/>
      <c r="R10" s="147"/>
      <c r="S10" s="8"/>
      <c r="T10" s="8"/>
      <c r="U10" s="8"/>
    </row>
    <row r="11" spans="2:21" x14ac:dyDescent="0.25">
      <c r="C11" s="4">
        <v>1</v>
      </c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 t="s">
        <v>12</v>
      </c>
      <c r="P11" s="4" t="s">
        <v>13</v>
      </c>
      <c r="R11" s="8"/>
      <c r="S11" s="148"/>
      <c r="T11" s="148"/>
      <c r="U11" s="148"/>
    </row>
    <row r="12" spans="2:21" x14ac:dyDescent="0.25">
      <c r="B12" s="44" t="s">
        <v>0</v>
      </c>
      <c r="C12" s="9">
        <v>307550.08484208997</v>
      </c>
      <c r="D12" s="9">
        <v>307550.08484208991</v>
      </c>
      <c r="E12" s="9">
        <v>307550.08484208991</v>
      </c>
      <c r="F12" s="9">
        <v>307550.08484208991</v>
      </c>
      <c r="G12" s="9">
        <v>307550.08484208991</v>
      </c>
      <c r="H12" s="9">
        <v>307550.08484208991</v>
      </c>
      <c r="I12" s="9">
        <v>307550.08484208991</v>
      </c>
      <c r="J12" s="9">
        <v>307550.08484208991</v>
      </c>
      <c r="K12" s="9">
        <v>307550.08484208991</v>
      </c>
      <c r="L12" s="9">
        <v>307550.08484208991</v>
      </c>
      <c r="M12" s="9">
        <v>307550.08484208991</v>
      </c>
      <c r="N12" s="9">
        <v>307550.08484208991</v>
      </c>
      <c r="O12" s="68">
        <f>+SUM(C12:N12)</f>
        <v>3690601.0181050799</v>
      </c>
      <c r="P12" s="68">
        <f>+O12++O13+O14</f>
        <v>12541202.036210161</v>
      </c>
      <c r="R12" s="10"/>
      <c r="S12" s="10"/>
      <c r="T12" s="10"/>
      <c r="U12" s="10"/>
    </row>
    <row r="13" spans="2:21" x14ac:dyDescent="0.25">
      <c r="B13" s="44" t="s">
        <v>0</v>
      </c>
      <c r="C13" s="9">
        <v>307550.08484208997</v>
      </c>
      <c r="D13" s="9">
        <v>307550.08484208997</v>
      </c>
      <c r="E13" s="9">
        <v>307550.08484208997</v>
      </c>
      <c r="F13" s="9">
        <v>307550.08484208997</v>
      </c>
      <c r="G13" s="9">
        <v>307550.08484208997</v>
      </c>
      <c r="H13" s="9">
        <v>307550.08484208997</v>
      </c>
      <c r="I13" s="9">
        <v>307550.08484208997</v>
      </c>
      <c r="J13" s="9">
        <v>307550.08484208997</v>
      </c>
      <c r="K13" s="9">
        <v>307550.08484208997</v>
      </c>
      <c r="L13" s="9">
        <v>307550.08484208997</v>
      </c>
      <c r="M13" s="9">
        <v>307550.08484208997</v>
      </c>
      <c r="N13" s="9">
        <v>307550.08484208997</v>
      </c>
      <c r="O13" s="68">
        <f>+SUM(C13:N13)</f>
        <v>3690601.0181050799</v>
      </c>
      <c r="R13" s="10"/>
      <c r="S13" s="10"/>
      <c r="T13" s="10"/>
      <c r="U13" s="10"/>
    </row>
    <row r="14" spans="2:21" x14ac:dyDescent="0.25">
      <c r="B14" s="44" t="s">
        <v>199</v>
      </c>
      <c r="C14" s="9">
        <v>430000</v>
      </c>
      <c r="D14" s="9">
        <v>430000</v>
      </c>
      <c r="E14" s="9">
        <v>430000</v>
      </c>
      <c r="F14" s="9">
        <v>430000</v>
      </c>
      <c r="G14" s="9">
        <v>430000</v>
      </c>
      <c r="H14" s="9">
        <v>430000</v>
      </c>
      <c r="I14" s="9">
        <v>430000</v>
      </c>
      <c r="J14" s="9">
        <v>430000</v>
      </c>
      <c r="K14" s="9">
        <v>430000</v>
      </c>
      <c r="L14" s="9">
        <v>430000</v>
      </c>
      <c r="M14" s="9">
        <v>430000</v>
      </c>
      <c r="N14" s="9">
        <v>430000</v>
      </c>
      <c r="O14" s="68">
        <f>+SUM(C14:N14)</f>
        <v>5160000</v>
      </c>
      <c r="R14" s="10"/>
      <c r="S14" s="10"/>
      <c r="T14" s="10"/>
      <c r="U14" s="10"/>
    </row>
    <row r="15" spans="2:21" x14ac:dyDescent="0.25">
      <c r="B15" s="3" t="s">
        <v>12</v>
      </c>
      <c r="C15" s="10">
        <f t="shared" ref="C15:N15" si="0">SUM(C12:C14)</f>
        <v>1045100.1696841799</v>
      </c>
      <c r="D15" s="10">
        <f t="shared" si="0"/>
        <v>1045100.1696841798</v>
      </c>
      <c r="E15" s="10">
        <f t="shared" si="0"/>
        <v>1045100.1696841798</v>
      </c>
      <c r="F15" s="10">
        <f t="shared" si="0"/>
        <v>1045100.1696841798</v>
      </c>
      <c r="G15" s="10">
        <f t="shared" si="0"/>
        <v>1045100.1696841798</v>
      </c>
      <c r="H15" s="10">
        <f t="shared" si="0"/>
        <v>1045100.1696841798</v>
      </c>
      <c r="I15" s="10">
        <f t="shared" si="0"/>
        <v>1045100.1696841798</v>
      </c>
      <c r="J15" s="10">
        <f t="shared" si="0"/>
        <v>1045100.1696841798</v>
      </c>
      <c r="K15" s="10">
        <f t="shared" si="0"/>
        <v>1045100.1696841798</v>
      </c>
      <c r="L15" s="10">
        <f t="shared" si="0"/>
        <v>1045100.1696841798</v>
      </c>
      <c r="M15" s="10">
        <f t="shared" si="0"/>
        <v>1045100.1696841798</v>
      </c>
      <c r="N15" s="10">
        <f t="shared" si="0"/>
        <v>1045100.1696841798</v>
      </c>
      <c r="O15" s="13"/>
      <c r="R15" s="8"/>
      <c r="S15" s="8"/>
      <c r="T15" s="8"/>
      <c r="U15" s="8"/>
    </row>
    <row r="17" spans="2:28" x14ac:dyDescent="0.25">
      <c r="B17" s="3" t="s">
        <v>168</v>
      </c>
      <c r="F17" s="3" t="s">
        <v>169</v>
      </c>
      <c r="I17" s="19"/>
      <c r="L17" s="3" t="s">
        <v>170</v>
      </c>
      <c r="O17" s="19"/>
      <c r="P17" s="3"/>
      <c r="R17" s="3" t="s">
        <v>175</v>
      </c>
      <c r="T17" s="3"/>
    </row>
    <row r="18" spans="2:28" ht="15.75" thickBot="1" x14ac:dyDescent="0.3">
      <c r="E18" s="18" t="s">
        <v>136</v>
      </c>
      <c r="H18" s="13">
        <f>+F19</f>
        <v>92486662.364999995</v>
      </c>
      <c r="J18" s="18"/>
      <c r="K18" s="18" t="s">
        <v>136</v>
      </c>
      <c r="N18" s="13">
        <f>+D19</f>
        <v>92486662.364999995</v>
      </c>
      <c r="R18" s="13"/>
      <c r="Y18" s="1">
        <v>2017</v>
      </c>
      <c r="Z18" s="13">
        <f>+SUM(G19:G30)</f>
        <v>-5824341.2304912154</v>
      </c>
      <c r="AA18" s="13"/>
      <c r="AB18" s="13">
        <f>+SUM(I19:I30)</f>
        <v>-6785556.5784089398</v>
      </c>
    </row>
    <row r="19" spans="2:28" ht="15.75" thickBot="1" x14ac:dyDescent="0.3">
      <c r="B19" s="6" t="s">
        <v>152</v>
      </c>
      <c r="C19" s="68">
        <f>+G6</f>
        <v>92486662.364999995</v>
      </c>
      <c r="D19" s="68">
        <f>+C19</f>
        <v>92486662.364999995</v>
      </c>
      <c r="E19" s="18" t="s">
        <v>15</v>
      </c>
      <c r="F19" s="13">
        <f>+C19</f>
        <v>92486662.364999995</v>
      </c>
      <c r="G19" s="13">
        <f>-$C$26*F19</f>
        <v>-502046.05246353504</v>
      </c>
      <c r="H19" s="13">
        <f>+$C$29</f>
        <v>-1050824.8174083463</v>
      </c>
      <c r="I19" s="13">
        <f>+H19-G19</f>
        <v>-548778.76494481135</v>
      </c>
      <c r="J19" s="18"/>
      <c r="K19" s="18" t="s">
        <v>15</v>
      </c>
      <c r="L19" s="13">
        <f>+D19</f>
        <v>92486662.364999995</v>
      </c>
      <c r="M19" s="13">
        <f t="shared" ref="M19:M35" si="1">-$D$26*L19</f>
        <v>-436023.45442943781</v>
      </c>
      <c r="N19" s="13">
        <f>+$D$29</f>
        <v>-1010948.9835862392</v>
      </c>
      <c r="O19" s="13">
        <f>+N19-M19</f>
        <v>-574925.52915680129</v>
      </c>
      <c r="P19" s="13"/>
      <c r="R19" s="35" t="s">
        <v>173</v>
      </c>
      <c r="S19" s="47"/>
      <c r="T19" s="48">
        <f>+(S20+U20*T22)/100</f>
        <v>9.5997506262701829E-2</v>
      </c>
      <c r="U19" s="16"/>
      <c r="Y19" s="1">
        <v>2018</v>
      </c>
      <c r="Z19" s="13">
        <f>+SUM(G31:G42)</f>
        <v>-5368893.9599925354</v>
      </c>
      <c r="AA19" s="13"/>
      <c r="AB19" s="13">
        <f t="shared" ref="AB19" si="2">+SUM(I31:I42)</f>
        <v>-7241003.8489076206</v>
      </c>
    </row>
    <row r="20" spans="2:28" x14ac:dyDescent="0.25">
      <c r="B20" s="6" t="s">
        <v>153</v>
      </c>
      <c r="C20" s="70">
        <f>+Negocio!E13</f>
        <v>0.65174999999999994</v>
      </c>
      <c r="D20" s="70">
        <v>0.55000000000000004</v>
      </c>
      <c r="E20" s="18" t="s">
        <v>26</v>
      </c>
      <c r="F20" s="13">
        <f>+F19+I19</f>
        <v>91937883.600055188</v>
      </c>
      <c r="G20" s="13">
        <f t="shared" ref="G20:G83" si="3">-$C$26*F20</f>
        <v>-499067.11252158921</v>
      </c>
      <c r="H20" s="13">
        <f>+$H$19</f>
        <v>-1050824.8174083463</v>
      </c>
      <c r="I20" s="13">
        <f>+H20-G20</f>
        <v>-551757.70488675707</v>
      </c>
      <c r="J20" s="18"/>
      <c r="K20" s="18" t="s">
        <v>26</v>
      </c>
      <c r="L20" s="13">
        <f>+L19+O19</f>
        <v>91911736.835843191</v>
      </c>
      <c r="M20" s="13">
        <f t="shared" si="1"/>
        <v>-433312.99857718416</v>
      </c>
      <c r="N20" s="13">
        <f>+$D$29</f>
        <v>-1010948.9835862392</v>
      </c>
      <c r="O20" s="13">
        <f>+N20-M20</f>
        <v>-577635.985009055</v>
      </c>
      <c r="P20" s="13"/>
      <c r="R20" s="49" t="s">
        <v>138</v>
      </c>
      <c r="S20" s="49">
        <v>5.7</v>
      </c>
      <c r="T20" s="49" t="s">
        <v>139</v>
      </c>
      <c r="U20" s="46">
        <v>4.47</v>
      </c>
      <c r="V20" s="49" t="s">
        <v>140</v>
      </c>
      <c r="W20" s="49">
        <v>1.5</v>
      </c>
      <c r="Y20" s="1">
        <v>2019</v>
      </c>
      <c r="Z20" s="13">
        <f>+SUM(G43:G54)</f>
        <v>-4882877.0208443105</v>
      </c>
      <c r="AA20" s="13"/>
      <c r="AB20" s="13">
        <f t="shared" ref="AB20" si="4">+SUM(I43:I54)</f>
        <v>-7727020.7880558455</v>
      </c>
    </row>
    <row r="21" spans="2:28" ht="15.75" thickBot="1" x14ac:dyDescent="0.3">
      <c r="B21" s="6" t="s">
        <v>154</v>
      </c>
      <c r="C21" s="6">
        <v>10</v>
      </c>
      <c r="D21" s="6">
        <v>10</v>
      </c>
      <c r="E21" s="18" t="s">
        <v>27</v>
      </c>
      <c r="F21" s="13">
        <f t="shared" ref="F21:F84" si="5">+F20+I20</f>
        <v>91386125.895168424</v>
      </c>
      <c r="G21" s="13">
        <f t="shared" si="3"/>
        <v>-496072.00197730854</v>
      </c>
      <c r="H21" s="13">
        <f>+$H$19</f>
        <v>-1050824.8174083463</v>
      </c>
      <c r="I21" s="13">
        <f>+H21-G21</f>
        <v>-554752.8154310378</v>
      </c>
      <c r="J21" s="18"/>
      <c r="K21" s="18" t="s">
        <v>27</v>
      </c>
      <c r="L21" s="13">
        <f t="shared" ref="L21:L84" si="6">+L20+O20</f>
        <v>91334100.850834131</v>
      </c>
      <c r="M21" s="13">
        <f t="shared" si="1"/>
        <v>-430589.76442486473</v>
      </c>
      <c r="N21" s="13">
        <f t="shared" ref="N21:N83" si="7">+$D$29</f>
        <v>-1010948.9835862392</v>
      </c>
      <c r="O21" s="13">
        <f>+N21-M21</f>
        <v>-580359.21916137449</v>
      </c>
      <c r="P21" s="13"/>
      <c r="Y21" s="1">
        <v>2020</v>
      </c>
      <c r="Z21" s="13">
        <f>+SUM(G55:G66)</f>
        <v>-4364238.573674839</v>
      </c>
      <c r="AA21" s="13"/>
      <c r="AB21" s="13">
        <f t="shared" ref="AB21" si="8">+SUM(I55:I66)</f>
        <v>-8245659.2352253161</v>
      </c>
    </row>
    <row r="22" spans="2:28" ht="15.75" thickBot="1" x14ac:dyDescent="0.3">
      <c r="B22" s="6" t="s">
        <v>155</v>
      </c>
      <c r="C22" s="6">
        <v>12</v>
      </c>
      <c r="D22" s="6">
        <v>12</v>
      </c>
      <c r="E22" s="18" t="s">
        <v>28</v>
      </c>
      <c r="F22" s="13">
        <f t="shared" si="5"/>
        <v>90831373.07973738</v>
      </c>
      <c r="G22" s="13">
        <f t="shared" si="3"/>
        <v>-493060.63305168942</v>
      </c>
      <c r="H22" s="13">
        <f>+$H$19</f>
        <v>-1050824.8174083463</v>
      </c>
      <c r="I22" s="13">
        <f>+H22-G22</f>
        <v>-557764.18435665686</v>
      </c>
      <c r="J22" s="18"/>
      <c r="K22" s="18" t="s">
        <v>28</v>
      </c>
      <c r="L22" s="13">
        <f t="shared" si="6"/>
        <v>90753741.631672755</v>
      </c>
      <c r="M22" s="13">
        <f t="shared" si="1"/>
        <v>-427853.69172986306</v>
      </c>
      <c r="N22" s="13">
        <f t="shared" si="7"/>
        <v>-1010948.9835862392</v>
      </c>
      <c r="O22" s="13">
        <f>+N22-M22</f>
        <v>-583095.2918563761</v>
      </c>
      <c r="P22" s="13"/>
      <c r="R22" s="50" t="s">
        <v>171</v>
      </c>
      <c r="S22" s="51"/>
      <c r="T22" s="54">
        <f>+S23</f>
        <v>0.87242743317006344</v>
      </c>
      <c r="Y22" s="1">
        <v>2021</v>
      </c>
      <c r="Z22" s="13">
        <f>+SUM(G67:G78)</f>
        <v>-3810789.0594382063</v>
      </c>
      <c r="AA22" s="13"/>
      <c r="AB22" s="13">
        <f t="shared" ref="AB22" si="9">+SUM(I67:I78)</f>
        <v>-8799108.7494619489</v>
      </c>
    </row>
    <row r="23" spans="2:28" x14ac:dyDescent="0.25">
      <c r="B23" s="6" t="s">
        <v>156</v>
      </c>
      <c r="C23" s="6">
        <f>+C21*C22</f>
        <v>120</v>
      </c>
      <c r="D23" s="6">
        <f>+D21*D22</f>
        <v>120</v>
      </c>
      <c r="E23" s="18" t="s">
        <v>29</v>
      </c>
      <c r="F23" s="13">
        <f t="shared" si="5"/>
        <v>90273608.89538072</v>
      </c>
      <c r="G23" s="13">
        <f t="shared" si="3"/>
        <v>-490032.91748923686</v>
      </c>
      <c r="H23" s="13">
        <f>+$H$19</f>
        <v>-1050824.8174083463</v>
      </c>
      <c r="I23" s="13">
        <f t="shared" ref="I23:I84" si="10">+H23-G23</f>
        <v>-560791.89991910942</v>
      </c>
      <c r="J23" s="18"/>
      <c r="K23" s="18" t="s">
        <v>29</v>
      </c>
      <c r="L23" s="13">
        <f t="shared" si="6"/>
        <v>90170646.339816377</v>
      </c>
      <c r="M23" s="13">
        <f t="shared" si="1"/>
        <v>-425104.71996555198</v>
      </c>
      <c r="N23" s="13">
        <f t="shared" si="7"/>
        <v>-1010948.9835862392</v>
      </c>
      <c r="O23" s="13">
        <f t="shared" ref="O23:O86" si="11">+N23-M23</f>
        <v>-585844.26362068718</v>
      </c>
      <c r="P23" s="13"/>
      <c r="R23" s="8">
        <f>1/(1+(1-0.3)*G6/F6)</f>
        <v>0.58161828878004229</v>
      </c>
      <c r="S23" s="60">
        <f>+R23*W20</f>
        <v>0.87242743317006344</v>
      </c>
      <c r="Y23" s="1">
        <v>2022</v>
      </c>
      <c r="Z23" s="13">
        <f>+SUM(G79:G90)</f>
        <v>-3220191.9556552796</v>
      </c>
      <c r="AA23" s="13"/>
      <c r="AB23" s="13">
        <f t="shared" ref="AB23" si="12">+SUM(I79:I90)</f>
        <v>-9389705.8532448765</v>
      </c>
    </row>
    <row r="24" spans="2:28" ht="15.75" thickBot="1" x14ac:dyDescent="0.3">
      <c r="B24" s="6" t="s">
        <v>157</v>
      </c>
      <c r="C24" s="150">
        <f>+C20/C21</f>
        <v>6.5174999999999997E-2</v>
      </c>
      <c r="D24" s="149">
        <f>+D20/D21</f>
        <v>5.5000000000000007E-2</v>
      </c>
      <c r="E24" s="18" t="s">
        <v>30</v>
      </c>
      <c r="F24" s="13">
        <f t="shared" si="5"/>
        <v>89712816.995461613</v>
      </c>
      <c r="G24" s="13">
        <f t="shared" si="3"/>
        <v>-486988.76655537792</v>
      </c>
      <c r="H24" s="13">
        <f t="shared" ref="H24:H84" si="13">+$H$19</f>
        <v>-1050824.8174083463</v>
      </c>
      <c r="I24" s="13">
        <f t="shared" si="10"/>
        <v>-563836.05085296836</v>
      </c>
      <c r="J24" s="18"/>
      <c r="K24" s="18" t="s">
        <v>30</v>
      </c>
      <c r="L24" s="13">
        <f t="shared" si="6"/>
        <v>89584802.076195687</v>
      </c>
      <c r="M24" s="13">
        <f t="shared" si="1"/>
        <v>-422342.78831995471</v>
      </c>
      <c r="N24" s="13">
        <f t="shared" si="7"/>
        <v>-1010948.9835862392</v>
      </c>
      <c r="O24" s="13">
        <f t="shared" si="11"/>
        <v>-588606.19526628451</v>
      </c>
      <c r="P24" s="13"/>
      <c r="R24" s="13"/>
      <c r="S24" s="13"/>
      <c r="Y24" s="1">
        <v>2023</v>
      </c>
      <c r="Z24" s="13">
        <f>+SUM(G91:G102)</f>
        <v>-2589953.9122126289</v>
      </c>
      <c r="AA24" s="13"/>
      <c r="AB24" s="13">
        <f t="shared" ref="AB24" si="14">+SUM(I91:I102)</f>
        <v>-10019943.896687528</v>
      </c>
    </row>
    <row r="25" spans="2:28" ht="15.75" thickBot="1" x14ac:dyDescent="0.3">
      <c r="B25" s="6" t="s">
        <v>278</v>
      </c>
      <c r="C25" s="150">
        <f>+C24/C22</f>
        <v>5.4312499999999994E-3</v>
      </c>
      <c r="D25" s="149">
        <f>+D24/D22</f>
        <v>4.5833333333333342E-3</v>
      </c>
      <c r="E25" s="18" t="s">
        <v>31</v>
      </c>
      <c r="F25" s="13">
        <f t="shared" si="5"/>
        <v>89148980.944608644</v>
      </c>
      <c r="G25" s="13">
        <f t="shared" si="3"/>
        <v>-483928.09103386092</v>
      </c>
      <c r="H25" s="13">
        <f t="shared" si="13"/>
        <v>-1050824.8174083463</v>
      </c>
      <c r="I25" s="13">
        <f t="shared" si="10"/>
        <v>-566896.72637448541</v>
      </c>
      <c r="J25" s="18"/>
      <c r="K25" s="18" t="s">
        <v>31</v>
      </c>
      <c r="L25" s="13">
        <f t="shared" si="6"/>
        <v>88996195.880929396</v>
      </c>
      <c r="M25" s="13">
        <f t="shared" si="1"/>
        <v>-419567.83569439972</v>
      </c>
      <c r="N25" s="13">
        <f t="shared" si="7"/>
        <v>-1010948.9835862392</v>
      </c>
      <c r="O25" s="13">
        <f t="shared" si="11"/>
        <v>-591381.1478918395</v>
      </c>
      <c r="P25" s="13"/>
      <c r="R25" s="50" t="s">
        <v>174</v>
      </c>
      <c r="S25" s="51"/>
      <c r="T25" s="48">
        <f>+R26</f>
        <v>0.12567277797517784</v>
      </c>
      <c r="Y25" s="1">
        <v>2024</v>
      </c>
      <c r="Z25" s="13">
        <f>+SUM(G103:G114)</f>
        <v>-1917414.2250752326</v>
      </c>
      <c r="AA25" s="13"/>
      <c r="AB25" s="13">
        <f t="shared" ref="AB25" si="15">+SUM(I103:I114)</f>
        <v>-10692483.583824925</v>
      </c>
    </row>
    <row r="26" spans="2:28" x14ac:dyDescent="0.25">
      <c r="B26" s="6" t="s">
        <v>279</v>
      </c>
      <c r="C26" s="150">
        <f>+((1+Negocio!$F$13)^(1/C22))-1</f>
        <v>5.428307602691973E-3</v>
      </c>
      <c r="D26" s="149">
        <f>+((1+Negocio!$F$12)^(1/D22))-1</f>
        <v>4.7144468540627482E-3</v>
      </c>
      <c r="E26" s="18" t="s">
        <v>32</v>
      </c>
      <c r="F26" s="13">
        <f t="shared" si="5"/>
        <v>88582084.218234152</v>
      </c>
      <c r="G26" s="13">
        <f t="shared" si="3"/>
        <v>-480850.80122414109</v>
      </c>
      <c r="H26" s="13">
        <f t="shared" si="13"/>
        <v>-1050824.8174083463</v>
      </c>
      <c r="I26" s="13">
        <f t="shared" si="10"/>
        <v>-569974.01618420519</v>
      </c>
      <c r="J26" s="18"/>
      <c r="K26" s="18" t="s">
        <v>32</v>
      </c>
      <c r="L26" s="13">
        <f t="shared" si="6"/>
        <v>88404814.733037561</v>
      </c>
      <c r="M26" s="13">
        <f t="shared" si="1"/>
        <v>-416779.80070216901</v>
      </c>
      <c r="N26" s="13">
        <f t="shared" si="7"/>
        <v>-1010948.9835862392</v>
      </c>
      <c r="O26" s="13">
        <f t="shared" si="11"/>
        <v>-594169.18288407009</v>
      </c>
      <c r="P26" s="13"/>
      <c r="R26" s="53">
        <f>+T19+(T19-Negocio!F13)*(G6/F6)</f>
        <v>0.12567277797517784</v>
      </c>
      <c r="S26" s="13"/>
      <c r="Y26" s="1">
        <v>2025</v>
      </c>
      <c r="Z26" s="13">
        <f>+SUM(G115:G126)</f>
        <v>-1199733.6034736831</v>
      </c>
      <c r="AA26" s="13"/>
      <c r="AB26" s="13">
        <f t="shared" ref="AB26" si="16">+SUM(I115:I126)</f>
        <v>-11410164.205426473</v>
      </c>
    </row>
    <row r="27" spans="2:28" ht="15.75" thickBot="1" x14ac:dyDescent="0.3">
      <c r="B27" s="6" t="s">
        <v>280</v>
      </c>
      <c r="C27" s="150">
        <f>1-(1+$C$26)^(-C23)</f>
        <v>0.47776379482712772</v>
      </c>
      <c r="D27" s="150">
        <f>1-(1+$D$26)^(-D23)</f>
        <v>0.43130114526915964</v>
      </c>
      <c r="E27" s="18" t="s">
        <v>33</v>
      </c>
      <c r="F27" s="13">
        <f t="shared" si="5"/>
        <v>88012110.202049941</v>
      </c>
      <c r="G27" s="13">
        <f t="shared" si="3"/>
        <v>-477756.80693875143</v>
      </c>
      <c r="H27" s="13">
        <f t="shared" si="13"/>
        <v>-1050824.8174083463</v>
      </c>
      <c r="I27" s="13">
        <f t="shared" si="10"/>
        <v>-573068.01046959497</v>
      </c>
      <c r="J27" s="18"/>
      <c r="K27" s="18" t="s">
        <v>33</v>
      </c>
      <c r="L27" s="13">
        <f t="shared" si="6"/>
        <v>87810645.550153494</v>
      </c>
      <c r="M27" s="13">
        <f t="shared" si="1"/>
        <v>-413978.62166714022</v>
      </c>
      <c r="N27" s="13">
        <f t="shared" si="7"/>
        <v>-1010948.9835862392</v>
      </c>
      <c r="O27" s="13">
        <f t="shared" si="11"/>
        <v>-596970.361919099</v>
      </c>
      <c r="P27" s="13"/>
      <c r="R27" s="13"/>
      <c r="S27" s="13"/>
      <c r="Y27" s="1">
        <v>2026</v>
      </c>
      <c r="Z27" s="13">
        <f>+SUM(G127:G138)</f>
        <v>-433882.18314380437</v>
      </c>
      <c r="AA27" s="13"/>
      <c r="AB27" s="13">
        <f t="shared" ref="AB27" si="17">+SUM(I127:I138)</f>
        <v>-12176015.625756353</v>
      </c>
    </row>
    <row r="28" spans="2:28" ht="15.75" thickBot="1" x14ac:dyDescent="0.3">
      <c r="B28" s="6" t="s">
        <v>160</v>
      </c>
      <c r="C28" s="6">
        <f>+C27/C26</f>
        <v>88.013397507207955</v>
      </c>
      <c r="D28" s="6">
        <f>+D27/D26</f>
        <v>91.484994660079607</v>
      </c>
      <c r="E28" s="18" t="s">
        <v>34</v>
      </c>
      <c r="F28" s="13">
        <f t="shared" si="5"/>
        <v>87439042.19158034</v>
      </c>
      <c r="G28" s="13">
        <f t="shared" si="3"/>
        <v>-474646.01750065974</v>
      </c>
      <c r="H28" s="13">
        <f t="shared" si="13"/>
        <v>-1050824.8174083463</v>
      </c>
      <c r="I28" s="13">
        <f t="shared" si="10"/>
        <v>-576178.79990768665</v>
      </c>
      <c r="J28" s="18"/>
      <c r="K28" s="18" t="s">
        <v>34</v>
      </c>
      <c r="L28" s="13">
        <f t="shared" si="6"/>
        <v>87213675.188234389</v>
      </c>
      <c r="M28" s="13">
        <f t="shared" si="1"/>
        <v>-411164.236622422</v>
      </c>
      <c r="N28" s="13">
        <f t="shared" si="7"/>
        <v>-1010948.9835862392</v>
      </c>
      <c r="O28" s="13">
        <f t="shared" si="11"/>
        <v>-599784.74696381716</v>
      </c>
      <c r="P28" s="13"/>
      <c r="R28" s="50" t="s">
        <v>137</v>
      </c>
      <c r="S28" s="51"/>
      <c r="T28" s="48">
        <f>+(S29+U29*W29)/100</f>
        <v>0.12405000000000001</v>
      </c>
      <c r="Y28" s="1">
        <v>2027</v>
      </c>
      <c r="Z28" s="13">
        <f>+SUM(G139)</f>
        <v>-8.4679715656759727E-10</v>
      </c>
      <c r="AA28" s="13"/>
      <c r="AB28" s="13">
        <f t="shared" ref="AB28" si="18">+SUM(I139)</f>
        <v>-1050824.8174083454</v>
      </c>
    </row>
    <row r="29" spans="2:28" x14ac:dyDescent="0.25">
      <c r="B29" s="6" t="s">
        <v>161</v>
      </c>
      <c r="C29" s="68">
        <f>-C19/C28</f>
        <v>-1050824.8174083463</v>
      </c>
      <c r="D29" s="68">
        <f>-D19/D28</f>
        <v>-1010948.9835862392</v>
      </c>
      <c r="E29" s="18" t="s">
        <v>35</v>
      </c>
      <c r="F29" s="13">
        <f t="shared" si="5"/>
        <v>86862863.391672656</v>
      </c>
      <c r="G29" s="13">
        <f t="shared" si="3"/>
        <v>-471518.34174061095</v>
      </c>
      <c r="H29" s="13">
        <f t="shared" si="13"/>
        <v>-1050824.8174083463</v>
      </c>
      <c r="I29" s="13">
        <f t="shared" si="10"/>
        <v>-579306.47566773533</v>
      </c>
      <c r="J29" s="18"/>
      <c r="K29" s="18" t="s">
        <v>35</v>
      </c>
      <c r="L29" s="13">
        <f t="shared" si="6"/>
        <v>86613890.441270575</v>
      </c>
      <c r="M29" s="13">
        <f t="shared" si="1"/>
        <v>-408336.58330898359</v>
      </c>
      <c r="N29" s="13">
        <f t="shared" si="7"/>
        <v>-1010948.9835862392</v>
      </c>
      <c r="O29" s="13">
        <f t="shared" si="11"/>
        <v>-602612.40027725557</v>
      </c>
      <c r="P29" s="13"/>
      <c r="R29" s="49" t="s">
        <v>138</v>
      </c>
      <c r="S29" s="49">
        <v>5.7</v>
      </c>
      <c r="T29" s="49" t="s">
        <v>139</v>
      </c>
      <c r="U29" s="46">
        <v>4.47</v>
      </c>
      <c r="V29" s="49" t="s">
        <v>140</v>
      </c>
      <c r="W29" s="49">
        <v>1.5</v>
      </c>
      <c r="Z29" s="13"/>
      <c r="AB29" s="13"/>
    </row>
    <row r="30" spans="2:28" ht="15.75" thickBot="1" x14ac:dyDescent="0.3">
      <c r="B30" s="6" t="s">
        <v>162</v>
      </c>
      <c r="C30" s="71">
        <f>+MIRR(H18:H139,C26,C33)</f>
        <v>5.3823571713562668E-3</v>
      </c>
      <c r="D30" s="71">
        <f>+MIRR(N18:N139,D26,D33)</f>
        <v>5.3799986027174285E-3</v>
      </c>
      <c r="E30" s="18" t="s">
        <v>36</v>
      </c>
      <c r="F30" s="13">
        <f t="shared" si="5"/>
        <v>86283556.916004926</v>
      </c>
      <c r="G30" s="13">
        <f t="shared" si="3"/>
        <v>-468373.6879944551</v>
      </c>
      <c r="H30" s="13">
        <f t="shared" si="13"/>
        <v>-1050824.8174083463</v>
      </c>
      <c r="I30" s="13">
        <f t="shared" si="10"/>
        <v>-582451.12941389123</v>
      </c>
      <c r="J30" s="18"/>
      <c r="K30" s="18" t="s">
        <v>36</v>
      </c>
      <c r="L30" s="13">
        <f t="shared" si="6"/>
        <v>86011278.040993318</v>
      </c>
      <c r="M30" s="13">
        <f t="shared" si="1"/>
        <v>-405495.59917427727</v>
      </c>
      <c r="N30" s="13">
        <f t="shared" si="7"/>
        <v>-1010948.9835862392</v>
      </c>
      <c r="O30" s="13">
        <f t="shared" si="11"/>
        <v>-605453.38441196189</v>
      </c>
      <c r="P30" s="13"/>
      <c r="R30" s="13"/>
      <c r="S30" s="13"/>
      <c r="AB30" s="13"/>
    </row>
    <row r="31" spans="2:28" ht="15.75" thickBot="1" x14ac:dyDescent="0.3">
      <c r="C31" s="1" t="s">
        <v>163</v>
      </c>
      <c r="D31" s="16"/>
      <c r="E31" s="18" t="s">
        <v>16</v>
      </c>
      <c r="F31" s="13">
        <f t="shared" si="5"/>
        <v>85701105.786591038</v>
      </c>
      <c r="G31" s="13">
        <f t="shared" si="3"/>
        <v>-465211.96410046116</v>
      </c>
      <c r="H31" s="13">
        <f t="shared" si="13"/>
        <v>-1050824.8174083463</v>
      </c>
      <c r="I31" s="13">
        <f t="shared" si="10"/>
        <v>-585612.85330788512</v>
      </c>
      <c r="J31" s="18"/>
      <c r="K31" s="18" t="s">
        <v>16</v>
      </c>
      <c r="L31" s="13">
        <f t="shared" si="6"/>
        <v>85405824.656581357</v>
      </c>
      <c r="M31" s="13">
        <f t="shared" si="1"/>
        <v>-402641.22137085465</v>
      </c>
      <c r="N31" s="13">
        <f t="shared" si="7"/>
        <v>-1010948.9835862392</v>
      </c>
      <c r="O31" s="13">
        <f t="shared" si="11"/>
        <v>-608307.76221538452</v>
      </c>
      <c r="P31" s="13"/>
      <c r="R31" s="50" t="s">
        <v>172</v>
      </c>
      <c r="S31" s="51"/>
      <c r="T31" s="48">
        <f>+T25*(F6/(F6+G6))+T28*(G6/(F6+G6))</f>
        <v>0.12485033256060042</v>
      </c>
    </row>
    <row r="32" spans="2:28" x14ac:dyDescent="0.25">
      <c r="C32" s="16">
        <f>+Negocio!D13</f>
        <v>6.5174999999999997E-2</v>
      </c>
      <c r="D32" s="16">
        <f>+C32</f>
        <v>6.5174999999999997E-2</v>
      </c>
      <c r="E32" s="18" t="s">
        <v>37</v>
      </c>
      <c r="F32" s="13">
        <f t="shared" si="5"/>
        <v>85115492.93328315</v>
      </c>
      <c r="G32" s="13">
        <f t="shared" si="3"/>
        <v>-462033.07739661582</v>
      </c>
      <c r="H32" s="13">
        <f t="shared" si="13"/>
        <v>-1050824.8174083463</v>
      </c>
      <c r="I32" s="13">
        <f t="shared" si="10"/>
        <v>-588791.74001173046</v>
      </c>
      <c r="J32" s="18"/>
      <c r="K32" s="18" t="s">
        <v>37</v>
      </c>
      <c r="L32" s="13">
        <f t="shared" si="6"/>
        <v>84797516.894365966</v>
      </c>
      <c r="M32" s="13">
        <f t="shared" si="1"/>
        <v>-399773.38675497635</v>
      </c>
      <c r="N32" s="13">
        <f t="shared" si="7"/>
        <v>-1010948.9835862392</v>
      </c>
      <c r="O32" s="13">
        <f t="shared" si="11"/>
        <v>-611175.59683126281</v>
      </c>
      <c r="P32" s="13"/>
      <c r="R32" s="13"/>
      <c r="S32" s="13"/>
    </row>
    <row r="33" spans="3:19" x14ac:dyDescent="0.25">
      <c r="C33" s="16">
        <f>+C32/C22</f>
        <v>5.4312499999999994E-3</v>
      </c>
      <c r="D33" s="16">
        <f>+C33</f>
        <v>5.4312499999999994E-3</v>
      </c>
      <c r="E33" s="18" t="s">
        <v>38</v>
      </c>
      <c r="F33" s="13">
        <f t="shared" si="5"/>
        <v>84526701.193271413</v>
      </c>
      <c r="G33" s="13">
        <f t="shared" si="3"/>
        <v>-458836.93471790786</v>
      </c>
      <c r="H33" s="13">
        <f t="shared" si="13"/>
        <v>-1050824.8174083463</v>
      </c>
      <c r="I33" s="13">
        <f t="shared" si="10"/>
        <v>-591987.88269043854</v>
      </c>
      <c r="J33" s="18"/>
      <c r="K33" s="18" t="s">
        <v>38</v>
      </c>
      <c r="L33" s="13">
        <f t="shared" si="6"/>
        <v>84186341.297534704</v>
      </c>
      <c r="M33" s="13">
        <f t="shared" si="1"/>
        <v>-396892.03188521531</v>
      </c>
      <c r="N33" s="13">
        <f t="shared" si="7"/>
        <v>-1010948.9835862392</v>
      </c>
      <c r="O33" s="13">
        <f t="shared" si="11"/>
        <v>-614056.95170102385</v>
      </c>
      <c r="P33" s="13"/>
      <c r="R33" s="55" t="s">
        <v>182</v>
      </c>
      <c r="S33" s="13"/>
    </row>
    <row r="34" spans="3:19" ht="15.75" thickBot="1" x14ac:dyDescent="0.3">
      <c r="C34" s="33">
        <f>+C33</f>
        <v>5.4312499999999994E-3</v>
      </c>
      <c r="D34" s="33">
        <f>+C34</f>
        <v>5.4312499999999994E-3</v>
      </c>
      <c r="E34" s="18" t="s">
        <v>39</v>
      </c>
      <c r="F34" s="13">
        <f t="shared" si="5"/>
        <v>83934713.310580969</v>
      </c>
      <c r="G34" s="13">
        <f t="shared" si="3"/>
        <v>-455623.4423935978</v>
      </c>
      <c r="H34" s="13">
        <f t="shared" si="13"/>
        <v>-1050824.8174083463</v>
      </c>
      <c r="I34" s="13">
        <f t="shared" si="10"/>
        <v>-595201.37501474854</v>
      </c>
      <c r="J34" s="18"/>
      <c r="K34" s="18" t="s">
        <v>39</v>
      </c>
      <c r="L34" s="13">
        <f t="shared" si="6"/>
        <v>83572284.345833674</v>
      </c>
      <c r="M34" s="13">
        <f t="shared" si="1"/>
        <v>-393997.09302105301</v>
      </c>
      <c r="N34" s="13">
        <f t="shared" si="7"/>
        <v>-1010948.9835862392</v>
      </c>
      <c r="O34" s="13">
        <f t="shared" si="11"/>
        <v>-616951.89056518616</v>
      </c>
      <c r="P34" s="13"/>
      <c r="R34" s="13" t="s">
        <v>179</v>
      </c>
      <c r="S34" s="13"/>
    </row>
    <row r="35" spans="3:19" x14ac:dyDescent="0.25">
      <c r="E35" s="18" t="s">
        <v>40</v>
      </c>
      <c r="F35" s="13">
        <f t="shared" si="5"/>
        <v>83339511.935566217</v>
      </c>
      <c r="G35" s="13">
        <f t="shared" si="3"/>
        <v>-452392.50624447252</v>
      </c>
      <c r="H35" s="13">
        <f t="shared" si="13"/>
        <v>-1050824.8174083463</v>
      </c>
      <c r="I35" s="13">
        <f t="shared" si="10"/>
        <v>-598432.31116387388</v>
      </c>
      <c r="J35" s="18"/>
      <c r="K35" s="18" t="s">
        <v>40</v>
      </c>
      <c r="L35" s="13">
        <f t="shared" si="6"/>
        <v>82955332.455268487</v>
      </c>
      <c r="M35" s="13">
        <f t="shared" si="1"/>
        <v>-391088.50612146989</v>
      </c>
      <c r="N35" s="13">
        <f t="shared" si="7"/>
        <v>-1010948.9835862392</v>
      </c>
      <c r="O35" s="13">
        <f t="shared" si="11"/>
        <v>-619860.47746476927</v>
      </c>
      <c r="P35" s="13"/>
      <c r="R35" s="52" t="s">
        <v>176</v>
      </c>
      <c r="S35" s="56">
        <v>1.2</v>
      </c>
    </row>
    <row r="36" spans="3:19" x14ac:dyDescent="0.25">
      <c r="E36" s="18" t="s">
        <v>41</v>
      </c>
      <c r="F36" s="13">
        <f t="shared" si="5"/>
        <v>82741079.624402344</v>
      </c>
      <c r="G36" s="13">
        <f t="shared" si="3"/>
        <v>-449144.03158008517</v>
      </c>
      <c r="H36" s="13">
        <f t="shared" si="13"/>
        <v>-1050824.8174083463</v>
      </c>
      <c r="I36" s="13">
        <f t="shared" si="10"/>
        <v>-601680.78582826117</v>
      </c>
      <c r="J36" s="18"/>
      <c r="K36" s="18" t="s">
        <v>41</v>
      </c>
      <c r="L36" s="13">
        <f t="shared" si="6"/>
        <v>82335471.977803722</v>
      </c>
      <c r="M36" s="13">
        <f t="shared" ref="M36:M83" si="19">-$D$26*L36</f>
        <v>-388166.20684352831</v>
      </c>
      <c r="N36" s="13">
        <f t="shared" si="7"/>
        <v>-1010948.9835862392</v>
      </c>
      <c r="O36" s="13">
        <f t="shared" si="11"/>
        <v>-622782.77674271085</v>
      </c>
      <c r="P36" s="13"/>
      <c r="R36" s="57" t="s">
        <v>177</v>
      </c>
      <c r="S36" s="58">
        <f>+Negocio!E16</f>
        <v>4.3999999999999997E-2</v>
      </c>
    </row>
    <row r="37" spans="3:19" ht="15.75" thickBot="1" x14ac:dyDescent="0.3">
      <c r="E37" s="18" t="s">
        <v>42</v>
      </c>
      <c r="F37" s="13">
        <f t="shared" si="5"/>
        <v>82139398.838574082</v>
      </c>
      <c r="G37" s="13">
        <f t="shared" si="3"/>
        <v>-445877.92319597991</v>
      </c>
      <c r="H37" s="13">
        <f t="shared" si="13"/>
        <v>-1050824.8174083463</v>
      </c>
      <c r="I37" s="13">
        <f t="shared" si="10"/>
        <v>-604946.89421236643</v>
      </c>
      <c r="J37" s="18"/>
      <c r="K37" s="18" t="s">
        <v>42</v>
      </c>
      <c r="L37" s="13">
        <f t="shared" si="6"/>
        <v>81712689.20106101</v>
      </c>
      <c r="M37" s="13">
        <f t="shared" si="19"/>
        <v>-385230.13054094918</v>
      </c>
      <c r="N37" s="13">
        <f t="shared" si="7"/>
        <v>-1010948.9835862392</v>
      </c>
      <c r="O37" s="13">
        <f t="shared" si="11"/>
        <v>-625718.85304528999</v>
      </c>
      <c r="P37" s="13"/>
      <c r="R37" s="59" t="s">
        <v>178</v>
      </c>
      <c r="S37" s="27">
        <v>2.5000000000000001E-2</v>
      </c>
    </row>
    <row r="38" spans="3:19" x14ac:dyDescent="0.25">
      <c r="E38" s="18" t="s">
        <v>43</v>
      </c>
      <c r="F38" s="13">
        <f t="shared" si="5"/>
        <v>81534451.944361717</v>
      </c>
      <c r="G38" s="13">
        <f t="shared" si="3"/>
        <v>-442594.08537090203</v>
      </c>
      <c r="H38" s="13">
        <f t="shared" si="13"/>
        <v>-1050824.8174083463</v>
      </c>
      <c r="I38" s="13">
        <f t="shared" si="10"/>
        <v>-608230.73203744437</v>
      </c>
      <c r="J38" s="18"/>
      <c r="K38" s="18" t="s">
        <v>43</v>
      </c>
      <c r="L38" s="13">
        <f t="shared" si="6"/>
        <v>81086970.348015726</v>
      </c>
      <c r="M38" s="13">
        <f t="shared" si="19"/>
        <v>-382280.21226268209</v>
      </c>
      <c r="N38" s="13">
        <f t="shared" si="7"/>
        <v>-1010948.9835862392</v>
      </c>
      <c r="O38" s="13">
        <f t="shared" si="11"/>
        <v>-628668.77132355701</v>
      </c>
      <c r="P38" s="13"/>
      <c r="R38" s="13"/>
      <c r="S38" s="13"/>
    </row>
    <row r="39" spans="3:19" ht="15.75" thickBot="1" x14ac:dyDescent="0.3">
      <c r="E39" s="18" t="s">
        <v>44</v>
      </c>
      <c r="F39" s="13">
        <f t="shared" si="5"/>
        <v>80926221.212324277</v>
      </c>
      <c r="G39" s="13">
        <f t="shared" si="3"/>
        <v>-439292.42186399229</v>
      </c>
      <c r="H39" s="13">
        <f t="shared" si="13"/>
        <v>-1050824.8174083463</v>
      </c>
      <c r="I39" s="13">
        <f t="shared" si="10"/>
        <v>-611532.39554435411</v>
      </c>
      <c r="J39" s="18"/>
      <c r="K39" s="18" t="s">
        <v>44</v>
      </c>
      <c r="L39" s="13">
        <f t="shared" si="6"/>
        <v>80458301.576692164</v>
      </c>
      <c r="M39" s="13">
        <f t="shared" si="19"/>
        <v>-379316.38675146824</v>
      </c>
      <c r="N39" s="13">
        <f t="shared" si="7"/>
        <v>-1010948.9835862392</v>
      </c>
      <c r="O39" s="13">
        <f t="shared" si="11"/>
        <v>-631632.59683477087</v>
      </c>
      <c r="P39" s="13"/>
      <c r="R39" s="13" t="s">
        <v>180</v>
      </c>
      <c r="S39" s="13"/>
    </row>
    <row r="40" spans="3:19" x14ac:dyDescent="0.25">
      <c r="E40" s="18" t="s">
        <v>45</v>
      </c>
      <c r="F40" s="13">
        <f t="shared" si="5"/>
        <v>80314688.816779926</v>
      </c>
      <c r="G40" s="13">
        <f t="shared" si="3"/>
        <v>-435972.83591196645</v>
      </c>
      <c r="H40" s="13">
        <f t="shared" si="13"/>
        <v>-1050824.8174083463</v>
      </c>
      <c r="I40" s="13">
        <f t="shared" si="10"/>
        <v>-614851.98149637994</v>
      </c>
      <c r="J40" s="18"/>
      <c r="K40" s="18" t="s">
        <v>45</v>
      </c>
      <c r="L40" s="13">
        <f t="shared" si="6"/>
        <v>79826668.9798574</v>
      </c>
      <c r="M40" s="13">
        <f t="shared" si="19"/>
        <v>-376338.58844239707</v>
      </c>
      <c r="N40" s="13">
        <f t="shared" si="7"/>
        <v>-1010948.9835862392</v>
      </c>
      <c r="O40" s="13">
        <f t="shared" si="11"/>
        <v>-634610.39514384209</v>
      </c>
      <c r="P40" s="13"/>
      <c r="R40" s="52" t="s">
        <v>176</v>
      </c>
      <c r="S40" s="56">
        <v>0.8</v>
      </c>
    </row>
    <row r="41" spans="3:19" x14ac:dyDescent="0.25">
      <c r="E41" s="18" t="s">
        <v>46</v>
      </c>
      <c r="F41" s="13">
        <f t="shared" si="5"/>
        <v>79699836.835283548</v>
      </c>
      <c r="G41" s="13">
        <f t="shared" si="3"/>
        <v>-432635.23022627941</v>
      </c>
      <c r="H41" s="13">
        <f t="shared" si="13"/>
        <v>-1050824.8174083463</v>
      </c>
      <c r="I41" s="13">
        <f t="shared" si="10"/>
        <v>-618189.58718206687</v>
      </c>
      <c r="J41" s="18"/>
      <c r="K41" s="18" t="s">
        <v>46</v>
      </c>
      <c r="L41" s="13">
        <f t="shared" si="6"/>
        <v>79192058.584713563</v>
      </c>
      <c r="M41" s="13">
        <f t="shared" si="19"/>
        <v>-373346.75146145571</v>
      </c>
      <c r="N41" s="13">
        <f t="shared" si="7"/>
        <v>-1010948.9835862392</v>
      </c>
      <c r="O41" s="13">
        <f t="shared" si="11"/>
        <v>-637602.23212478345</v>
      </c>
      <c r="P41" s="13"/>
      <c r="R41" s="57" t="s">
        <v>177</v>
      </c>
      <c r="S41" s="58">
        <f>+Negocio!E18</f>
        <v>0.12180000000000001</v>
      </c>
    </row>
    <row r="42" spans="3:19" ht="15.75" thickBot="1" x14ac:dyDescent="0.3">
      <c r="E42" s="18" t="s">
        <v>47</v>
      </c>
      <c r="F42" s="13">
        <f t="shared" si="5"/>
        <v>79081647.248101488</v>
      </c>
      <c r="G42" s="13">
        <f t="shared" si="3"/>
        <v>-429279.50699027407</v>
      </c>
      <c r="H42" s="13">
        <f t="shared" si="13"/>
        <v>-1050824.8174083463</v>
      </c>
      <c r="I42" s="13">
        <f t="shared" si="10"/>
        <v>-621545.31041807227</v>
      </c>
      <c r="J42" s="18"/>
      <c r="K42" s="18" t="s">
        <v>47</v>
      </c>
      <c r="L42" s="13">
        <f t="shared" si="6"/>
        <v>78554456.352588773</v>
      </c>
      <c r="M42" s="13">
        <f t="shared" si="19"/>
        <v>-370340.80962407158</v>
      </c>
      <c r="N42" s="13">
        <f t="shared" si="7"/>
        <v>-1010948.9835862392</v>
      </c>
      <c r="O42" s="13">
        <f t="shared" si="11"/>
        <v>-640608.17396216758</v>
      </c>
      <c r="P42" s="13"/>
      <c r="R42" s="59" t="s">
        <v>178</v>
      </c>
      <c r="S42" s="27">
        <v>7.4999999999999997E-2</v>
      </c>
    </row>
    <row r="43" spans="3:19" x14ac:dyDescent="0.25">
      <c r="E43" s="18" t="s">
        <v>17</v>
      </c>
      <c r="F43" s="13">
        <f t="shared" si="5"/>
        <v>78460101.937683418</v>
      </c>
      <c r="G43" s="13">
        <f t="shared" si="3"/>
        <v>-425905.56785631413</v>
      </c>
      <c r="H43" s="13">
        <f t="shared" si="13"/>
        <v>-1050824.8174083463</v>
      </c>
      <c r="I43" s="13">
        <f t="shared" si="10"/>
        <v>-624919.24955203221</v>
      </c>
      <c r="J43" s="18"/>
      <c r="K43" s="18" t="s">
        <v>17</v>
      </c>
      <c r="L43" s="13">
        <f t="shared" si="6"/>
        <v>77913848.178626612</v>
      </c>
      <c r="M43" s="13">
        <f t="shared" si="19"/>
        <v>-367320.69643364882</v>
      </c>
      <c r="N43" s="13">
        <f t="shared" si="7"/>
        <v>-1010948.9835862392</v>
      </c>
      <c r="O43" s="13">
        <f t="shared" si="11"/>
        <v>-643628.28715259035</v>
      </c>
      <c r="P43" s="13"/>
      <c r="R43" s="13"/>
      <c r="S43" s="13"/>
    </row>
    <row r="44" spans="3:19" ht="15.75" thickBot="1" x14ac:dyDescent="0.3">
      <c r="E44" s="18" t="s">
        <v>48</v>
      </c>
      <c r="F44" s="13">
        <f t="shared" si="5"/>
        <v>77835182.688131392</v>
      </c>
      <c r="G44" s="13">
        <f t="shared" si="3"/>
        <v>-422513.31394290226</v>
      </c>
      <c r="H44" s="13">
        <f t="shared" si="13"/>
        <v>-1050824.8174083463</v>
      </c>
      <c r="I44" s="13">
        <f t="shared" si="10"/>
        <v>-628311.50346544408</v>
      </c>
      <c r="J44" s="18"/>
      <c r="K44" s="18" t="s">
        <v>48</v>
      </c>
      <c r="L44" s="13">
        <f t="shared" si="6"/>
        <v>77270219.891474023</v>
      </c>
      <c r="M44" s="13">
        <f t="shared" si="19"/>
        <v>-364286.34508009651</v>
      </c>
      <c r="N44" s="13">
        <f t="shared" si="7"/>
        <v>-1010948.9835862392</v>
      </c>
      <c r="O44" s="13">
        <f t="shared" si="11"/>
        <v>-646662.63850614266</v>
      </c>
      <c r="P44" s="13"/>
      <c r="R44" s="13" t="s">
        <v>181</v>
      </c>
      <c r="S44" s="13"/>
    </row>
    <row r="45" spans="3:19" x14ac:dyDescent="0.25">
      <c r="E45" s="18" t="s">
        <v>49</v>
      </c>
      <c r="F45" s="13">
        <f t="shared" si="5"/>
        <v>77206871.184665948</v>
      </c>
      <c r="G45" s="13">
        <f t="shared" si="3"/>
        <v>-419102.64583178196</v>
      </c>
      <c r="H45" s="13">
        <f t="shared" si="13"/>
        <v>-1050824.8174083463</v>
      </c>
      <c r="I45" s="13">
        <f t="shared" si="10"/>
        <v>-631722.17157656443</v>
      </c>
      <c r="J45" s="18"/>
      <c r="K45" s="18" t="s">
        <v>49</v>
      </c>
      <c r="L45" s="13">
        <f t="shared" si="6"/>
        <v>76623557.252967879</v>
      </c>
      <c r="M45" s="13">
        <f t="shared" si="19"/>
        <v>-361237.68843835127</v>
      </c>
      <c r="N45" s="13">
        <f t="shared" si="7"/>
        <v>-1010948.9835862392</v>
      </c>
      <c r="O45" s="13">
        <f t="shared" si="11"/>
        <v>-649711.2951478879</v>
      </c>
      <c r="P45" s="13"/>
      <c r="R45" s="52" t="s">
        <v>176</v>
      </c>
      <c r="S45" s="56">
        <v>1</v>
      </c>
    </row>
    <row r="46" spans="3:19" x14ac:dyDescent="0.25">
      <c r="E46" s="18" t="s">
        <v>50</v>
      </c>
      <c r="F46" s="13">
        <f t="shared" si="5"/>
        <v>76575149.013089389</v>
      </c>
      <c r="G46" s="13">
        <f t="shared" si="3"/>
        <v>-415673.46356502385</v>
      </c>
      <c r="H46" s="13">
        <f t="shared" si="13"/>
        <v>-1050824.8174083463</v>
      </c>
      <c r="I46" s="13">
        <f t="shared" si="10"/>
        <v>-635151.35384332249</v>
      </c>
      <c r="J46" s="18"/>
      <c r="K46" s="18" t="s">
        <v>50</v>
      </c>
      <c r="L46" s="13">
        <f t="shared" si="6"/>
        <v>75973845.957819998</v>
      </c>
      <c r="M46" s="13">
        <f t="shared" si="19"/>
        <v>-358174.65906689235</v>
      </c>
      <c r="N46" s="13">
        <f t="shared" si="7"/>
        <v>-1010948.9835862392</v>
      </c>
      <c r="O46" s="13">
        <f t="shared" si="11"/>
        <v>-652774.32451934682</v>
      </c>
      <c r="P46" s="13"/>
      <c r="R46" s="57" t="s">
        <v>177</v>
      </c>
      <c r="S46" s="58">
        <f>+Negocio!F13</f>
        <v>6.7120105069623959E-2</v>
      </c>
    </row>
    <row r="47" spans="3:19" ht="15.75" thickBot="1" x14ac:dyDescent="0.3">
      <c r="E47" s="18" t="s">
        <v>51</v>
      </c>
      <c r="F47" s="13">
        <f t="shared" si="5"/>
        <v>75939997.659246072</v>
      </c>
      <c r="G47" s="13">
        <f t="shared" si="3"/>
        <v>-412225.66664209607</v>
      </c>
      <c r="H47" s="13">
        <f t="shared" si="13"/>
        <v>-1050824.8174083463</v>
      </c>
      <c r="I47" s="13">
        <f t="shared" si="10"/>
        <v>-638599.15076625021</v>
      </c>
      <c r="J47" s="18"/>
      <c r="K47" s="18" t="s">
        <v>51</v>
      </c>
      <c r="L47" s="13">
        <f t="shared" si="6"/>
        <v>75321071.633300647</v>
      </c>
      <c r="M47" s="13">
        <f t="shared" si="19"/>
        <v>-355097.18920624914</v>
      </c>
      <c r="N47" s="13">
        <f t="shared" si="7"/>
        <v>-1010948.9835862392</v>
      </c>
      <c r="O47" s="13">
        <f t="shared" si="11"/>
        <v>-655851.79437999008</v>
      </c>
      <c r="P47" s="13"/>
      <c r="R47" s="59" t="s">
        <v>178</v>
      </c>
      <c r="S47" s="27">
        <v>0.05</v>
      </c>
    </row>
    <row r="48" spans="3:19" x14ac:dyDescent="0.25">
      <c r="E48" s="18" t="s">
        <v>52</v>
      </c>
      <c r="F48" s="13">
        <f t="shared" si="5"/>
        <v>75301398.508479819</v>
      </c>
      <c r="G48" s="13">
        <f t="shared" si="3"/>
        <v>-408759.15401691897</v>
      </c>
      <c r="H48" s="13">
        <f t="shared" si="13"/>
        <v>-1050824.8174083463</v>
      </c>
      <c r="I48" s="13">
        <f t="shared" si="10"/>
        <v>-642065.66339142737</v>
      </c>
      <c r="J48" s="18"/>
      <c r="K48" s="18" t="s">
        <v>52</v>
      </c>
      <c r="L48" s="13">
        <f t="shared" si="6"/>
        <v>74665219.838920653</v>
      </c>
      <c r="M48" s="13">
        <f t="shared" si="19"/>
        <v>-352005.21077750297</v>
      </c>
      <c r="N48" s="13">
        <f t="shared" si="7"/>
        <v>-1010948.9835862392</v>
      </c>
      <c r="O48" s="13">
        <f t="shared" si="11"/>
        <v>-658943.77280873619</v>
      </c>
      <c r="P48" s="13"/>
      <c r="R48" s="13"/>
      <c r="S48" s="13"/>
    </row>
    <row r="49" spans="5:29" x14ac:dyDescent="0.25">
      <c r="E49" s="18" t="s">
        <v>53</v>
      </c>
      <c r="F49" s="13">
        <f t="shared" si="5"/>
        <v>74659332.845088392</v>
      </c>
      <c r="G49" s="13">
        <f t="shared" si="3"/>
        <v>-405273.82409490383</v>
      </c>
      <c r="H49" s="13">
        <f t="shared" si="13"/>
        <v>-1050824.8174083463</v>
      </c>
      <c r="I49" s="13">
        <f t="shared" si="10"/>
        <v>-645550.99331344245</v>
      </c>
      <c r="J49" s="18"/>
      <c r="K49" s="18" t="s">
        <v>53</v>
      </c>
      <c r="L49" s="13">
        <f t="shared" si="6"/>
        <v>74006276.066111922</v>
      </c>
      <c r="M49" s="13">
        <f t="shared" si="19"/>
        <v>-348898.65538078063</v>
      </c>
      <c r="N49" s="13">
        <f t="shared" si="7"/>
        <v>-1010948.9835862392</v>
      </c>
      <c r="O49" s="13">
        <f t="shared" si="11"/>
        <v>-662050.32820545859</v>
      </c>
      <c r="P49" s="13"/>
      <c r="R49" s="13"/>
      <c r="S49" s="13"/>
    </row>
    <row r="50" spans="5:29" x14ac:dyDescent="0.25">
      <c r="E50" s="18" t="s">
        <v>54</v>
      </c>
      <c r="F50" s="13">
        <f t="shared" si="5"/>
        <v>74013781.851774946</v>
      </c>
      <c r="G50" s="13">
        <f t="shared" si="3"/>
        <v>-401769.57472997514</v>
      </c>
      <c r="H50" s="13">
        <f t="shared" si="13"/>
        <v>-1050824.8174083463</v>
      </c>
      <c r="I50" s="13">
        <f t="shared" si="10"/>
        <v>-649055.24267837126</v>
      </c>
      <c r="J50" s="18"/>
      <c r="K50" s="18" t="s">
        <v>54</v>
      </c>
      <c r="L50" s="13">
        <f t="shared" si="6"/>
        <v>73344225.737906471</v>
      </c>
      <c r="M50" s="13">
        <f t="shared" si="19"/>
        <v>-345777.4542937412</v>
      </c>
      <c r="N50" s="13">
        <f t="shared" si="7"/>
        <v>-1010948.9835862392</v>
      </c>
      <c r="O50" s="13">
        <f t="shared" si="11"/>
        <v>-665171.52929249802</v>
      </c>
      <c r="P50" s="13"/>
      <c r="R50" s="55" t="s">
        <v>281</v>
      </c>
      <c r="S50" s="13"/>
    </row>
    <row r="51" spans="5:29" x14ac:dyDescent="0.25">
      <c r="E51" s="18" t="s">
        <v>55</v>
      </c>
      <c r="F51" s="13">
        <f t="shared" si="5"/>
        <v>73364726.609096572</v>
      </c>
      <c r="G51" s="13">
        <f t="shared" si="3"/>
        <v>-398246.30322157702</v>
      </c>
      <c r="H51" s="13">
        <f t="shared" si="13"/>
        <v>-1050824.8174083463</v>
      </c>
      <c r="I51" s="13">
        <f t="shared" si="10"/>
        <v>-652578.51418676926</v>
      </c>
      <c r="J51" s="18"/>
      <c r="K51" s="18" t="s">
        <v>55</v>
      </c>
      <c r="L51" s="13">
        <f t="shared" si="6"/>
        <v>72679054.208613977</v>
      </c>
      <c r="M51" s="13">
        <f t="shared" si="19"/>
        <v>-342641.53847005608</v>
      </c>
      <c r="N51" s="13">
        <f t="shared" si="7"/>
        <v>-1010948.9835862392</v>
      </c>
      <c r="O51" s="13">
        <f t="shared" si="11"/>
        <v>-668307.44511618302</v>
      </c>
      <c r="P51" s="13"/>
      <c r="R51" s="6">
        <v>50</v>
      </c>
      <c r="S51" s="69">
        <v>1</v>
      </c>
      <c r="T51" s="5">
        <v>2</v>
      </c>
      <c r="U51" s="5">
        <v>3</v>
      </c>
      <c r="V51" s="69">
        <v>4</v>
      </c>
      <c r="W51" s="5">
        <v>5</v>
      </c>
      <c r="X51" s="5">
        <v>6</v>
      </c>
      <c r="Y51" s="69">
        <v>7</v>
      </c>
      <c r="Z51" s="5">
        <v>8</v>
      </c>
      <c r="AA51" s="5">
        <v>9</v>
      </c>
      <c r="AB51" s="69">
        <v>10</v>
      </c>
      <c r="AC51" s="5" t="s">
        <v>193</v>
      </c>
    </row>
    <row r="52" spans="5:29" x14ac:dyDescent="0.25">
      <c r="E52" s="18" t="s">
        <v>56</v>
      </c>
      <c r="F52" s="13">
        <f t="shared" si="5"/>
        <v>72712148.094909802</v>
      </c>
      <c r="G52" s="13">
        <f t="shared" si="3"/>
        <v>-394703.90631166357</v>
      </c>
      <c r="H52" s="13">
        <f t="shared" si="13"/>
        <v>-1050824.8174083463</v>
      </c>
      <c r="I52" s="13">
        <f t="shared" si="10"/>
        <v>-656120.91109668277</v>
      </c>
      <c r="J52" s="18"/>
      <c r="K52" s="18" t="s">
        <v>56</v>
      </c>
      <c r="L52" s="13">
        <f t="shared" si="6"/>
        <v>72010746.7634978</v>
      </c>
      <c r="M52" s="13">
        <f t="shared" si="19"/>
        <v>-339490.83853788144</v>
      </c>
      <c r="N52" s="13">
        <f t="shared" si="7"/>
        <v>-1010948.9835862392</v>
      </c>
      <c r="O52" s="13">
        <f t="shared" si="11"/>
        <v>-671458.14504835778</v>
      </c>
      <c r="P52" s="13"/>
      <c r="R52" s="68">
        <f>+D3</f>
        <v>60828887.454999998</v>
      </c>
      <c r="S52" s="68">
        <f>+$R$52/$R$51</f>
        <v>1216577.7490999999</v>
      </c>
      <c r="T52" s="68">
        <f>+$R$52/$R$51</f>
        <v>1216577.7490999999</v>
      </c>
      <c r="U52" s="68">
        <f>+$R$52/$R$51</f>
        <v>1216577.7490999999</v>
      </c>
      <c r="V52" s="68">
        <f t="shared" ref="V52:AA52" si="20">+$R$52/$R$51</f>
        <v>1216577.7490999999</v>
      </c>
      <c r="W52" s="68">
        <f t="shared" si="20"/>
        <v>1216577.7490999999</v>
      </c>
      <c r="X52" s="68">
        <f t="shared" si="20"/>
        <v>1216577.7490999999</v>
      </c>
      <c r="Y52" s="68">
        <f t="shared" si="20"/>
        <v>1216577.7490999999</v>
      </c>
      <c r="Z52" s="68">
        <f t="shared" si="20"/>
        <v>1216577.7490999999</v>
      </c>
      <c r="AA52" s="68">
        <f t="shared" si="20"/>
        <v>1216577.7490999999</v>
      </c>
      <c r="AB52" s="68">
        <f>+$R$52/$R$51</f>
        <v>1216577.7490999999</v>
      </c>
      <c r="AC52" s="68">
        <f>+$R$52/$R$51</f>
        <v>1216577.7490999999</v>
      </c>
    </row>
    <row r="53" spans="5:29" x14ac:dyDescent="0.25">
      <c r="E53" s="18" t="s">
        <v>57</v>
      </c>
      <c r="F53" s="13">
        <f t="shared" si="5"/>
        <v>72056027.183813125</v>
      </c>
      <c r="G53" s="13">
        <f t="shared" si="3"/>
        <v>-391142.28018167225</v>
      </c>
      <c r="H53" s="13">
        <f t="shared" si="13"/>
        <v>-1050824.8174083463</v>
      </c>
      <c r="I53" s="13">
        <f t="shared" si="10"/>
        <v>-659682.53722667415</v>
      </c>
      <c r="J53" s="18"/>
      <c r="K53" s="18" t="s">
        <v>57</v>
      </c>
      <c r="L53" s="13">
        <f t="shared" si="6"/>
        <v>71339288.618449435</v>
      </c>
      <c r="M53" s="13">
        <f t="shared" si="19"/>
        <v>-336325.28479832335</v>
      </c>
      <c r="N53" s="13">
        <f t="shared" si="7"/>
        <v>-1010948.9835862392</v>
      </c>
      <c r="O53" s="13">
        <f t="shared" si="11"/>
        <v>-674623.69878791575</v>
      </c>
      <c r="P53" s="13"/>
      <c r="R53" s="68">
        <f>+D4</f>
        <v>60828887.454999998</v>
      </c>
      <c r="S53" s="68">
        <f>+$R$53/$R$51</f>
        <v>1216577.7490999999</v>
      </c>
      <c r="T53" s="68">
        <f>+$R$53/$R$51</f>
        <v>1216577.7490999999</v>
      </c>
      <c r="U53" s="68">
        <f t="shared" ref="U53:AB53" si="21">+$R$53/$R$51</f>
        <v>1216577.7490999999</v>
      </c>
      <c r="V53" s="68">
        <f t="shared" si="21"/>
        <v>1216577.7490999999</v>
      </c>
      <c r="W53" s="68">
        <f t="shared" si="21"/>
        <v>1216577.7490999999</v>
      </c>
      <c r="X53" s="68">
        <f t="shared" si="21"/>
        <v>1216577.7490999999</v>
      </c>
      <c r="Y53" s="68">
        <f t="shared" si="21"/>
        <v>1216577.7490999999</v>
      </c>
      <c r="Z53" s="68">
        <f t="shared" si="21"/>
        <v>1216577.7490999999</v>
      </c>
      <c r="AA53" s="68">
        <f t="shared" si="21"/>
        <v>1216577.7490999999</v>
      </c>
      <c r="AB53" s="68">
        <f t="shared" si="21"/>
        <v>1216577.7490999999</v>
      </c>
      <c r="AC53" s="68">
        <f>+$R$53/$R$51</f>
        <v>1216577.7490999999</v>
      </c>
    </row>
    <row r="54" spans="5:29" x14ac:dyDescent="0.25">
      <c r="E54" s="18" t="s">
        <v>58</v>
      </c>
      <c r="F54" s="13">
        <f t="shared" si="5"/>
        <v>71396344.646586448</v>
      </c>
      <c r="G54" s="13">
        <f t="shared" si="3"/>
        <v>-387561.32044948154</v>
      </c>
      <c r="H54" s="13">
        <f t="shared" si="13"/>
        <v>-1050824.8174083463</v>
      </c>
      <c r="I54" s="13">
        <f t="shared" si="10"/>
        <v>-663263.49695886485</v>
      </c>
      <c r="J54" s="18"/>
      <c r="K54" s="18" t="s">
        <v>58</v>
      </c>
      <c r="L54" s="13">
        <f t="shared" si="6"/>
        <v>70664664.919661522</v>
      </c>
      <c r="M54" s="13">
        <f t="shared" si="19"/>
        <v>-333144.8072238965</v>
      </c>
      <c r="N54" s="13">
        <f t="shared" si="7"/>
        <v>-1010948.9835862392</v>
      </c>
      <c r="O54" s="13">
        <f t="shared" si="11"/>
        <v>-677804.17636234267</v>
      </c>
      <c r="P54" s="13"/>
      <c r="R54" s="68">
        <f>+D5</f>
        <v>60828887.454999998</v>
      </c>
      <c r="S54" s="68">
        <f>+$R$54/$R$51</f>
        <v>1216577.7490999999</v>
      </c>
      <c r="T54" s="68">
        <f>+$R$54/$R$51</f>
        <v>1216577.7490999999</v>
      </c>
      <c r="U54" s="68">
        <f t="shared" ref="U54:AB54" si="22">+$R$54/$R$51</f>
        <v>1216577.7490999999</v>
      </c>
      <c r="V54" s="68">
        <f t="shared" si="22"/>
        <v>1216577.7490999999</v>
      </c>
      <c r="W54" s="68">
        <f t="shared" si="22"/>
        <v>1216577.7490999999</v>
      </c>
      <c r="X54" s="68">
        <f t="shared" si="22"/>
        <v>1216577.7490999999</v>
      </c>
      <c r="Y54" s="68">
        <f t="shared" si="22"/>
        <v>1216577.7490999999</v>
      </c>
      <c r="Z54" s="68">
        <f t="shared" si="22"/>
        <v>1216577.7490999999</v>
      </c>
      <c r="AA54" s="68">
        <f t="shared" si="22"/>
        <v>1216577.7490999999</v>
      </c>
      <c r="AB54" s="68">
        <f t="shared" si="22"/>
        <v>1216577.7490999999</v>
      </c>
      <c r="AC54" s="68">
        <f>+$R$54/$R$51</f>
        <v>1216577.7490999999</v>
      </c>
    </row>
    <row r="55" spans="5:29" x14ac:dyDescent="0.25">
      <c r="E55" s="18" t="s">
        <v>18</v>
      </c>
      <c r="F55" s="13">
        <f t="shared" si="5"/>
        <v>70733081.149627581</v>
      </c>
      <c r="G55" s="13">
        <f t="shared" si="3"/>
        <v>-383960.92216635169</v>
      </c>
      <c r="H55" s="13">
        <f t="shared" si="13"/>
        <v>-1050824.8174083463</v>
      </c>
      <c r="I55" s="13">
        <f t="shared" si="10"/>
        <v>-666863.89524199464</v>
      </c>
      <c r="J55" s="18"/>
      <c r="K55" s="18" t="s">
        <v>18</v>
      </c>
      <c r="L55" s="13">
        <f t="shared" si="6"/>
        <v>69986860.743299186</v>
      </c>
      <c r="M55" s="13">
        <f t="shared" si="19"/>
        <v>-329949.33545697451</v>
      </c>
      <c r="N55" s="13">
        <f t="shared" si="7"/>
        <v>-1010948.9835862392</v>
      </c>
      <c r="O55" s="13">
        <f t="shared" si="11"/>
        <v>-680999.64812926459</v>
      </c>
      <c r="P55" s="13"/>
      <c r="R55" s="13"/>
      <c r="S55" s="13"/>
    </row>
    <row r="56" spans="5:29" x14ac:dyDescent="0.25">
      <c r="E56" s="18" t="s">
        <v>59</v>
      </c>
      <c r="F56" s="13">
        <f t="shared" si="5"/>
        <v>70066217.254385591</v>
      </c>
      <c r="G56" s="13">
        <f t="shared" si="3"/>
        <v>-380340.9798138488</v>
      </c>
      <c r="H56" s="13">
        <f t="shared" si="13"/>
        <v>-1050824.8174083463</v>
      </c>
      <c r="I56" s="13">
        <f t="shared" si="10"/>
        <v>-670483.83759449748</v>
      </c>
      <c r="J56" s="18"/>
      <c r="K56" s="18" t="s">
        <v>59</v>
      </c>
      <c r="L56" s="13">
        <f t="shared" si="6"/>
        <v>69305861.095169917</v>
      </c>
      <c r="M56" s="13">
        <f t="shared" si="19"/>
        <v>-326738.79880823364</v>
      </c>
      <c r="N56" s="13">
        <f t="shared" si="7"/>
        <v>-1010948.9835862392</v>
      </c>
      <c r="O56" s="13">
        <f t="shared" si="11"/>
        <v>-684210.18477800558</v>
      </c>
      <c r="P56" s="13"/>
      <c r="R56" s="68" t="s">
        <v>276</v>
      </c>
      <c r="S56" s="69">
        <v>1</v>
      </c>
      <c r="T56" s="5">
        <v>2</v>
      </c>
      <c r="U56" s="5">
        <v>3</v>
      </c>
      <c r="V56" s="69">
        <v>4</v>
      </c>
      <c r="W56" s="5">
        <v>5</v>
      </c>
      <c r="X56" s="5">
        <v>6</v>
      </c>
      <c r="Y56" s="69">
        <v>7</v>
      </c>
      <c r="Z56" s="5">
        <v>8</v>
      </c>
      <c r="AA56" s="5">
        <v>9</v>
      </c>
      <c r="AB56" s="69">
        <v>10</v>
      </c>
      <c r="AC56" s="5" t="s">
        <v>193</v>
      </c>
    </row>
    <row r="57" spans="5:29" x14ac:dyDescent="0.25">
      <c r="E57" s="18" t="s">
        <v>60</v>
      </c>
      <c r="F57" s="13">
        <f t="shared" si="5"/>
        <v>69395733.416791096</v>
      </c>
      <c r="G57" s="13">
        <f t="shared" si="3"/>
        <v>-376701.38730075251</v>
      </c>
      <c r="H57" s="13">
        <f t="shared" si="13"/>
        <v>-1050824.8174083463</v>
      </c>
      <c r="I57" s="13">
        <f t="shared" si="10"/>
        <v>-674123.43010759377</v>
      </c>
      <c r="J57" s="18"/>
      <c r="K57" s="18" t="s">
        <v>60</v>
      </c>
      <c r="L57" s="13">
        <f t="shared" si="6"/>
        <v>68621650.910391912</v>
      </c>
      <c r="M57" s="13">
        <f t="shared" si="19"/>
        <v>-323513.12625508924</v>
      </c>
      <c r="N57" s="13">
        <f t="shared" si="7"/>
        <v>-1010948.9835862392</v>
      </c>
      <c r="O57" s="13">
        <f t="shared" si="11"/>
        <v>-687435.85733114998</v>
      </c>
      <c r="P57" s="13"/>
      <c r="R57" s="68" t="s">
        <v>0</v>
      </c>
      <c r="S57" s="68">
        <f>+$R$52/$R$51</f>
        <v>1216577.7490999999</v>
      </c>
      <c r="T57" s="68">
        <f>+$R$52/$R$51</f>
        <v>1216577.7490999999</v>
      </c>
      <c r="U57" s="68">
        <f>+$R$52/$R$51</f>
        <v>1216577.7490999999</v>
      </c>
      <c r="V57" s="68">
        <f t="shared" ref="V57:AA57" si="23">+$R$52/$R$51</f>
        <v>1216577.7490999999</v>
      </c>
      <c r="W57" s="68">
        <f t="shared" si="23"/>
        <v>1216577.7490999999</v>
      </c>
      <c r="X57" s="68">
        <f t="shared" si="23"/>
        <v>1216577.7490999999</v>
      </c>
      <c r="Y57" s="68">
        <f t="shared" si="23"/>
        <v>1216577.7490999999</v>
      </c>
      <c r="Z57" s="68">
        <f t="shared" si="23"/>
        <v>1216577.7490999999</v>
      </c>
      <c r="AA57" s="68">
        <f t="shared" si="23"/>
        <v>1216577.7490999999</v>
      </c>
      <c r="AB57" s="68">
        <f>+$R$52/$R$51</f>
        <v>1216577.7490999999</v>
      </c>
      <c r="AC57" s="68">
        <f>+$R$52/$R$51</f>
        <v>1216577.7490999999</v>
      </c>
    </row>
    <row r="58" spans="5:29" x14ac:dyDescent="0.25">
      <c r="E58" s="18" t="s">
        <v>61</v>
      </c>
      <c r="F58" s="13">
        <f t="shared" si="5"/>
        <v>68721609.986683503</v>
      </c>
      <c r="G58" s="13">
        <f t="shared" si="3"/>
        <v>-373042.03795994667</v>
      </c>
      <c r="H58" s="13">
        <f t="shared" si="13"/>
        <v>-1050824.8174083463</v>
      </c>
      <c r="I58" s="13">
        <f t="shared" si="10"/>
        <v>-677782.77944839967</v>
      </c>
      <c r="J58" s="18"/>
      <c r="K58" s="18" t="s">
        <v>61</v>
      </c>
      <c r="L58" s="13">
        <f t="shared" si="6"/>
        <v>67934215.053060755</v>
      </c>
      <c r="M58" s="13">
        <f t="shared" si="19"/>
        <v>-320272.24644012447</v>
      </c>
      <c r="N58" s="13">
        <f t="shared" si="7"/>
        <v>-1010948.9835862392</v>
      </c>
      <c r="O58" s="13">
        <f t="shared" si="11"/>
        <v>-690676.7371461147</v>
      </c>
      <c r="P58" s="13"/>
      <c r="R58" s="68" t="s">
        <v>0</v>
      </c>
      <c r="S58" s="68">
        <f>+$R$53/$R$51</f>
        <v>1216577.7490999999</v>
      </c>
      <c r="T58" s="68">
        <f>+$R$53/$R$51</f>
        <v>1216577.7490999999</v>
      </c>
      <c r="U58" s="68">
        <f t="shared" ref="U58:AB58" si="24">+$R$53/$R$51</f>
        <v>1216577.7490999999</v>
      </c>
      <c r="V58" s="68">
        <f t="shared" si="24"/>
        <v>1216577.7490999999</v>
      </c>
      <c r="W58" s="68">
        <f t="shared" si="24"/>
        <v>1216577.7490999999</v>
      </c>
      <c r="X58" s="68">
        <f t="shared" si="24"/>
        <v>1216577.7490999999</v>
      </c>
      <c r="Y58" s="68">
        <f t="shared" si="24"/>
        <v>1216577.7490999999</v>
      </c>
      <c r="Z58" s="68">
        <f t="shared" si="24"/>
        <v>1216577.7490999999</v>
      </c>
      <c r="AA58" s="68">
        <f t="shared" si="24"/>
        <v>1216577.7490999999</v>
      </c>
      <c r="AB58" s="68">
        <f t="shared" si="24"/>
        <v>1216577.7490999999</v>
      </c>
      <c r="AC58" s="68">
        <f>+$R$53/$R$51</f>
        <v>1216577.7490999999</v>
      </c>
    </row>
    <row r="59" spans="5:29" x14ac:dyDescent="0.25">
      <c r="E59" s="18" t="s">
        <v>62</v>
      </c>
      <c r="F59" s="13">
        <f t="shared" si="5"/>
        <v>68043827.207235098</v>
      </c>
      <c r="G59" s="13">
        <f t="shared" si="3"/>
        <v>-369362.82454529317</v>
      </c>
      <c r="H59" s="13">
        <f t="shared" si="13"/>
        <v>-1050824.8174083463</v>
      </c>
      <c r="I59" s="13">
        <f t="shared" si="10"/>
        <v>-681461.99286305322</v>
      </c>
      <c r="J59" s="18"/>
      <c r="K59" s="18" t="s">
        <v>62</v>
      </c>
      <c r="L59" s="13">
        <f t="shared" si="6"/>
        <v>67243538.315914646</v>
      </c>
      <c r="M59" s="13">
        <f t="shared" si="19"/>
        <v>-317016.08766951167</v>
      </c>
      <c r="N59" s="13">
        <f t="shared" si="7"/>
        <v>-1010948.9835862392</v>
      </c>
      <c r="O59" s="13">
        <f t="shared" si="11"/>
        <v>-693932.89591672749</v>
      </c>
      <c r="P59" s="13"/>
      <c r="R59" s="68" t="s">
        <v>199</v>
      </c>
      <c r="S59" s="68">
        <f>+$R$54/$R$51</f>
        <v>1216577.7490999999</v>
      </c>
      <c r="T59" s="68">
        <f>+$R$54/$R$51</f>
        <v>1216577.7490999999</v>
      </c>
      <c r="U59" s="68">
        <f t="shared" ref="U59:AB59" si="25">+$R$54/$R$51</f>
        <v>1216577.7490999999</v>
      </c>
      <c r="V59" s="68">
        <f t="shared" si="25"/>
        <v>1216577.7490999999</v>
      </c>
      <c r="W59" s="68">
        <f t="shared" si="25"/>
        <v>1216577.7490999999</v>
      </c>
      <c r="X59" s="68">
        <f t="shared" si="25"/>
        <v>1216577.7490999999</v>
      </c>
      <c r="Y59" s="68">
        <f t="shared" si="25"/>
        <v>1216577.7490999999</v>
      </c>
      <c r="Z59" s="68">
        <f t="shared" si="25"/>
        <v>1216577.7490999999</v>
      </c>
      <c r="AA59" s="68">
        <f t="shared" si="25"/>
        <v>1216577.7490999999</v>
      </c>
      <c r="AB59" s="68">
        <f t="shared" si="25"/>
        <v>1216577.7490999999</v>
      </c>
      <c r="AC59" s="68">
        <f>+$R$54/$R$51</f>
        <v>1216577.7490999999</v>
      </c>
    </row>
    <row r="60" spans="5:29" x14ac:dyDescent="0.25">
      <c r="E60" s="18" t="s">
        <v>63</v>
      </c>
      <c r="F60" s="13">
        <f t="shared" si="5"/>
        <v>67362365.214372039</v>
      </c>
      <c r="G60" s="13">
        <f t="shared" si="3"/>
        <v>-365663.63922848902</v>
      </c>
      <c r="H60" s="13">
        <f t="shared" si="13"/>
        <v>-1050824.8174083463</v>
      </c>
      <c r="I60" s="13">
        <f t="shared" si="10"/>
        <v>-685161.17817985732</v>
      </c>
      <c r="J60" s="18"/>
      <c r="K60" s="18" t="s">
        <v>63</v>
      </c>
      <c r="L60" s="13">
        <f t="shared" si="6"/>
        <v>66549605.419997916</v>
      </c>
      <c r="M60" s="13">
        <f t="shared" si="19"/>
        <v>-313744.57791142637</v>
      </c>
      <c r="N60" s="13">
        <f t="shared" si="7"/>
        <v>-1010948.9835862392</v>
      </c>
      <c r="O60" s="13">
        <f t="shared" si="11"/>
        <v>-697204.40567481285</v>
      </c>
      <c r="P60" s="13"/>
      <c r="R60" s="13"/>
      <c r="S60" s="13"/>
    </row>
    <row r="61" spans="5:29" x14ac:dyDescent="0.25">
      <c r="E61" s="18" t="s">
        <v>64</v>
      </c>
      <c r="F61" s="13">
        <f t="shared" si="5"/>
        <v>66677204.036192179</v>
      </c>
      <c r="G61" s="13">
        <f t="shared" si="3"/>
        <v>-361944.3735959059</v>
      </c>
      <c r="H61" s="13">
        <f t="shared" si="13"/>
        <v>-1050824.8174083463</v>
      </c>
      <c r="I61" s="13">
        <f t="shared" si="10"/>
        <v>-688880.44381244038</v>
      </c>
      <c r="J61" s="18"/>
      <c r="K61" s="18" t="s">
        <v>64</v>
      </c>
      <c r="L61" s="13">
        <f t="shared" si="6"/>
        <v>65852401.0143231</v>
      </c>
      <c r="M61" s="13">
        <f t="shared" si="19"/>
        <v>-310457.6447944541</v>
      </c>
      <c r="N61" s="13">
        <f t="shared" si="7"/>
        <v>-1010948.9835862392</v>
      </c>
      <c r="O61" s="13">
        <f t="shared" si="11"/>
        <v>-700491.33879178506</v>
      </c>
      <c r="P61" s="13"/>
      <c r="R61" s="13"/>
      <c r="S61" s="13"/>
    </row>
    <row r="62" spans="5:29" x14ac:dyDescent="0.25">
      <c r="E62" s="18" t="s">
        <v>65</v>
      </c>
      <c r="F62" s="13">
        <f t="shared" si="5"/>
        <v>65988323.592379741</v>
      </c>
      <c r="G62" s="13">
        <f t="shared" si="3"/>
        <v>-358204.91864541301</v>
      </c>
      <c r="H62" s="13">
        <f t="shared" si="13"/>
        <v>-1050824.8174083463</v>
      </c>
      <c r="I62" s="13">
        <f t="shared" si="10"/>
        <v>-692619.89876293333</v>
      </c>
      <c r="J62" s="18"/>
      <c r="K62" s="18" t="s">
        <v>65</v>
      </c>
      <c r="L62" s="13">
        <f t="shared" si="6"/>
        <v>65151909.675531313</v>
      </c>
      <c r="M62" s="13">
        <f t="shared" si="19"/>
        <v>-307155.21560598892</v>
      </c>
      <c r="N62" s="13">
        <f t="shared" si="7"/>
        <v>-1010948.9835862392</v>
      </c>
      <c r="O62" s="13">
        <f t="shared" si="11"/>
        <v>-703793.7679802503</v>
      </c>
      <c r="P62" s="13"/>
      <c r="R62" s="13"/>
      <c r="S62" s="13"/>
    </row>
    <row r="63" spans="5:29" x14ac:dyDescent="0.25">
      <c r="E63" s="18" t="s">
        <v>66</v>
      </c>
      <c r="F63" s="13">
        <f t="shared" si="5"/>
        <v>65295703.693616807</v>
      </c>
      <c r="G63" s="13">
        <f t="shared" si="3"/>
        <v>-354445.16478318244</v>
      </c>
      <c r="H63" s="13">
        <f t="shared" si="13"/>
        <v>-1050824.8174083463</v>
      </c>
      <c r="I63" s="13">
        <f t="shared" si="10"/>
        <v>-696379.6526251639</v>
      </c>
      <c r="J63" s="18"/>
      <c r="K63" s="18" t="s">
        <v>66</v>
      </c>
      <c r="L63" s="13">
        <f t="shared" si="6"/>
        <v>64448115.907551065</v>
      </c>
      <c r="M63" s="13">
        <f t="shared" si="19"/>
        <v>-303837.2172906255</v>
      </c>
      <c r="N63" s="13">
        <f t="shared" si="7"/>
        <v>-1010948.9835862392</v>
      </c>
      <c r="O63" s="13">
        <f t="shared" si="11"/>
        <v>-707111.76629561372</v>
      </c>
      <c r="P63" s="13"/>
      <c r="R63" s="13"/>
      <c r="S63" s="13"/>
    </row>
    <row r="64" spans="5:29" x14ac:dyDescent="0.25">
      <c r="E64" s="18" t="s">
        <v>67</v>
      </c>
      <c r="F64" s="13">
        <f t="shared" si="5"/>
        <v>64599324.040991642</v>
      </c>
      <c r="G64" s="13">
        <f t="shared" si="3"/>
        <v>-350665.00182047725</v>
      </c>
      <c r="H64" s="13">
        <f t="shared" si="13"/>
        <v>-1050824.8174083463</v>
      </c>
      <c r="I64" s="13">
        <f t="shared" si="10"/>
        <v>-700159.81558786915</v>
      </c>
      <c r="J64" s="18"/>
      <c r="K64" s="18" t="s">
        <v>67</v>
      </c>
      <c r="L64" s="13">
        <f t="shared" si="6"/>
        <v>63741004.141255453</v>
      </c>
      <c r="M64" s="13">
        <f t="shared" si="19"/>
        <v>-300503.57644854236</v>
      </c>
      <c r="N64" s="13">
        <f t="shared" si="7"/>
        <v>-1010948.9835862392</v>
      </c>
      <c r="O64" s="13">
        <f t="shared" si="11"/>
        <v>-710445.40713769686</v>
      </c>
      <c r="P64" s="13"/>
      <c r="R64" s="13"/>
      <c r="S64" s="13"/>
    </row>
    <row r="65" spans="5:19" x14ac:dyDescent="0.25">
      <c r="E65" s="18" t="s">
        <v>68</v>
      </c>
      <c r="F65" s="13">
        <f t="shared" si="5"/>
        <v>63899164.225403771</v>
      </c>
      <c r="G65" s="13">
        <f t="shared" si="3"/>
        <v>-346864.3189704222</v>
      </c>
      <c r="H65" s="13">
        <f t="shared" si="13"/>
        <v>-1050824.8174083463</v>
      </c>
      <c r="I65" s="13">
        <f t="shared" si="10"/>
        <v>-703960.49843792408</v>
      </c>
      <c r="J65" s="18"/>
      <c r="K65" s="18" t="s">
        <v>68</v>
      </c>
      <c r="L65" s="13">
        <f t="shared" si="6"/>
        <v>63030558.734117754</v>
      </c>
      <c r="M65" s="13">
        <f t="shared" si="19"/>
        <v>-297154.21933387872</v>
      </c>
      <c r="N65" s="13">
        <f t="shared" si="7"/>
        <v>-1010948.9835862392</v>
      </c>
      <c r="O65" s="13">
        <f t="shared" si="11"/>
        <v>-713794.76425236044</v>
      </c>
      <c r="P65" s="13"/>
      <c r="R65" s="13"/>
      <c r="S65" s="13"/>
    </row>
    <row r="66" spans="5:19" x14ac:dyDescent="0.25">
      <c r="E66" s="18" t="s">
        <v>69</v>
      </c>
      <c r="F66" s="13">
        <f t="shared" si="5"/>
        <v>63195203.726965845</v>
      </c>
      <c r="G66" s="13">
        <f t="shared" si="3"/>
        <v>-343043.0048447568</v>
      </c>
      <c r="H66" s="13">
        <f t="shared" si="13"/>
        <v>-1050824.8174083463</v>
      </c>
      <c r="I66" s="13">
        <f t="shared" si="10"/>
        <v>-707781.81256358954</v>
      </c>
      <c r="J66" s="18"/>
      <c r="K66" s="18" t="s">
        <v>69</v>
      </c>
      <c r="L66" s="13">
        <f t="shared" si="6"/>
        <v>62316763.969865397</v>
      </c>
      <c r="M66" s="13">
        <f t="shared" si="19"/>
        <v>-293789.07185310271</v>
      </c>
      <c r="N66" s="13">
        <f t="shared" si="7"/>
        <v>-1010948.9835862392</v>
      </c>
      <c r="O66" s="13">
        <f t="shared" si="11"/>
        <v>-717159.91173313651</v>
      </c>
      <c r="P66" s="13"/>
      <c r="R66" s="13"/>
      <c r="S66" s="13"/>
    </row>
    <row r="67" spans="5:19" x14ac:dyDescent="0.25">
      <c r="E67" s="18" t="s">
        <v>19</v>
      </c>
      <c r="F67" s="13">
        <f t="shared" si="5"/>
        <v>62487421.914402254</v>
      </c>
      <c r="G67" s="13">
        <f t="shared" si="3"/>
        <v>-339200.94745057076</v>
      </c>
      <c r="H67" s="13">
        <f t="shared" si="13"/>
        <v>-1050824.8174083463</v>
      </c>
      <c r="I67" s="13">
        <f t="shared" si="10"/>
        <v>-711623.86995777558</v>
      </c>
      <c r="J67" s="18"/>
      <c r="K67" s="18" t="s">
        <v>19</v>
      </c>
      <c r="L67" s="13">
        <f t="shared" si="6"/>
        <v>61599604.058132261</v>
      </c>
      <c r="M67" s="13">
        <f t="shared" si="19"/>
        <v>-290408.05956337252</v>
      </c>
      <c r="N67" s="13">
        <f t="shared" si="7"/>
        <v>-1010948.9835862392</v>
      </c>
      <c r="O67" s="13">
        <f t="shared" si="11"/>
        <v>-720540.92402286665</v>
      </c>
      <c r="P67" s="13"/>
      <c r="R67" s="13"/>
      <c r="S67" s="13"/>
    </row>
    <row r="68" spans="5:19" x14ac:dyDescent="0.25">
      <c r="E68" s="18" t="s">
        <v>70</v>
      </c>
      <c r="F68" s="13">
        <f t="shared" si="5"/>
        <v>61775798.044444479</v>
      </c>
      <c r="G68" s="13">
        <f t="shared" si="3"/>
        <v>-335338.0341870219</v>
      </c>
      <c r="H68" s="13">
        <f t="shared" si="13"/>
        <v>-1050824.8174083463</v>
      </c>
      <c r="I68" s="13">
        <f t="shared" si="10"/>
        <v>-715486.78322132444</v>
      </c>
      <c r="J68" s="18"/>
      <c r="K68" s="18" t="s">
        <v>70</v>
      </c>
      <c r="L68" s="13">
        <f t="shared" si="6"/>
        <v>60879063.134109393</v>
      </c>
      <c r="M68" s="13">
        <f t="shared" si="19"/>
        <v>-287011.10767088947</v>
      </c>
      <c r="N68" s="13">
        <f t="shared" si="7"/>
        <v>-1010948.9835862392</v>
      </c>
      <c r="O68" s="13">
        <f t="shared" si="11"/>
        <v>-723937.87591534969</v>
      </c>
      <c r="P68" s="13"/>
      <c r="R68" s="13"/>
      <c r="S68" s="13"/>
    </row>
    <row r="69" spans="5:19" x14ac:dyDescent="0.25">
      <c r="E69" s="18" t="s">
        <v>71</v>
      </c>
      <c r="F69" s="13">
        <f t="shared" si="5"/>
        <v>61060311.261223152</v>
      </c>
      <c r="G69" s="13">
        <f t="shared" si="3"/>
        <v>-331454.15184203594</v>
      </c>
      <c r="H69" s="13">
        <f t="shared" si="13"/>
        <v>-1050824.8174083463</v>
      </c>
      <c r="I69" s="13">
        <f t="shared" si="10"/>
        <v>-719370.6655663104</v>
      </c>
      <c r="J69" s="18"/>
      <c r="K69" s="18" t="s">
        <v>71</v>
      </c>
      <c r="L69" s="13">
        <f t="shared" si="6"/>
        <v>60155125.258194044</v>
      </c>
      <c r="M69" s="13">
        <f t="shared" si="19"/>
        <v>-283598.14102924347</v>
      </c>
      <c r="N69" s="13">
        <f t="shared" si="7"/>
        <v>-1010948.9835862392</v>
      </c>
      <c r="O69" s="13">
        <f t="shared" si="11"/>
        <v>-727350.84255699569</v>
      </c>
      <c r="P69" s="13"/>
      <c r="R69" s="13"/>
      <c r="S69" s="13"/>
    </row>
    <row r="70" spans="5:19" x14ac:dyDescent="0.25">
      <c r="E70" s="18" t="s">
        <v>72</v>
      </c>
      <c r="F70" s="13">
        <f t="shared" si="5"/>
        <v>60340940.595656842</v>
      </c>
      <c r="G70" s="13">
        <f t="shared" si="3"/>
        <v>-327549.18658898876</v>
      </c>
      <c r="H70" s="13">
        <f t="shared" si="13"/>
        <v>-1050824.8174083463</v>
      </c>
      <c r="I70" s="13">
        <f t="shared" si="10"/>
        <v>-723275.63081935758</v>
      </c>
      <c r="J70" s="18"/>
      <c r="K70" s="18" t="s">
        <v>72</v>
      </c>
      <c r="L70" s="13">
        <f t="shared" si="6"/>
        <v>59427774.415637046</v>
      </c>
      <c r="M70" s="13">
        <f t="shared" si="19"/>
        <v>-280169.08413775073</v>
      </c>
      <c r="N70" s="13">
        <f t="shared" si="7"/>
        <v>-1010948.9835862392</v>
      </c>
      <c r="O70" s="13">
        <f t="shared" si="11"/>
        <v>-730779.89944848837</v>
      </c>
      <c r="P70" s="13"/>
      <c r="R70" s="13"/>
      <c r="S70" s="13"/>
    </row>
    <row r="71" spans="5:19" x14ac:dyDescent="0.25">
      <c r="E71" s="18" t="s">
        <v>73</v>
      </c>
      <c r="F71" s="13">
        <f t="shared" si="5"/>
        <v>59617664.964837484</v>
      </c>
      <c r="G71" s="13">
        <f t="shared" si="3"/>
        <v>-323623.02398337016</v>
      </c>
      <c r="H71" s="13">
        <f t="shared" si="13"/>
        <v>-1050824.8174083463</v>
      </c>
      <c r="I71" s="13">
        <f t="shared" si="10"/>
        <v>-727201.79342497617</v>
      </c>
      <c r="J71" s="18"/>
      <c r="K71" s="18" t="s">
        <v>73</v>
      </c>
      <c r="L71" s="13">
        <f t="shared" si="6"/>
        <v>58696994.516188554</v>
      </c>
      <c r="M71" s="13">
        <f t="shared" si="19"/>
        <v>-276723.86113978352</v>
      </c>
      <c r="N71" s="13">
        <f t="shared" si="7"/>
        <v>-1010948.9835862392</v>
      </c>
      <c r="O71" s="13">
        <f t="shared" si="11"/>
        <v>-734225.12244645564</v>
      </c>
      <c r="P71" s="13"/>
      <c r="R71" s="13"/>
      <c r="S71" s="13"/>
    </row>
    <row r="72" spans="5:19" x14ac:dyDescent="0.25">
      <c r="E72" s="18" t="s">
        <v>74</v>
      </c>
      <c r="F72" s="13">
        <f t="shared" si="5"/>
        <v>58890463.171412505</v>
      </c>
      <c r="G72" s="13">
        <f t="shared" si="3"/>
        <v>-319675.54895943013</v>
      </c>
      <c r="H72" s="13">
        <f t="shared" si="13"/>
        <v>-1050824.8174083463</v>
      </c>
      <c r="I72" s="13">
        <f t="shared" si="10"/>
        <v>-731149.26844891626</v>
      </c>
      <c r="J72" s="18"/>
      <c r="K72" s="18" t="s">
        <v>74</v>
      </c>
      <c r="L72" s="13">
        <f t="shared" si="6"/>
        <v>57962769.393742099</v>
      </c>
      <c r="M72" s="13">
        <f t="shared" si="19"/>
        <v>-273262.39582109201</v>
      </c>
      <c r="N72" s="13">
        <f t="shared" si="7"/>
        <v>-1010948.9835862392</v>
      </c>
      <c r="O72" s="13">
        <f t="shared" si="11"/>
        <v>-737686.58776514721</v>
      </c>
      <c r="P72" s="13"/>
      <c r="R72" s="13"/>
      <c r="S72" s="13"/>
    </row>
    <row r="73" spans="5:19" x14ac:dyDescent="0.25">
      <c r="E73" s="18" t="s">
        <v>75</v>
      </c>
      <c r="F73" s="13">
        <f t="shared" si="5"/>
        <v>58159313.902963586</v>
      </c>
      <c r="G73" s="13">
        <f t="shared" si="3"/>
        <v>-315706.6458268062</v>
      </c>
      <c r="H73" s="13">
        <f t="shared" si="13"/>
        <v>-1050824.8174083463</v>
      </c>
      <c r="I73" s="13">
        <f t="shared" si="10"/>
        <v>-735118.17158154014</v>
      </c>
      <c r="J73" s="18"/>
      <c r="K73" s="18" t="s">
        <v>75</v>
      </c>
      <c r="L73" s="13">
        <f t="shared" si="6"/>
        <v>57225082.80597695</v>
      </c>
      <c r="M73" s="13">
        <f t="shared" si="19"/>
        <v>-269784.61160811828</v>
      </c>
      <c r="N73" s="13">
        <f t="shared" si="7"/>
        <v>-1010948.9835862392</v>
      </c>
      <c r="O73" s="13">
        <f t="shared" si="11"/>
        <v>-741164.37197812088</v>
      </c>
      <c r="P73" s="13"/>
      <c r="R73" s="13"/>
      <c r="S73" s="13"/>
    </row>
    <row r="74" spans="5:19" x14ac:dyDescent="0.25">
      <c r="E74" s="18" t="s">
        <v>76</v>
      </c>
      <c r="F74" s="13">
        <f t="shared" si="5"/>
        <v>57424195.73138205</v>
      </c>
      <c r="G74" s="13">
        <f t="shared" si="3"/>
        <v>-311716.19826713315</v>
      </c>
      <c r="H74" s="13">
        <f t="shared" si="13"/>
        <v>-1050824.8174083463</v>
      </c>
      <c r="I74" s="13">
        <f t="shared" si="10"/>
        <v>-739108.61914121313</v>
      </c>
      <c r="J74" s="18"/>
      <c r="K74" s="18" t="s">
        <v>76</v>
      </c>
      <c r="L74" s="13">
        <f t="shared" si="6"/>
        <v>56483918.433998831</v>
      </c>
      <c r="M74" s="13">
        <f t="shared" si="19"/>
        <v>-266290.43156630266</v>
      </c>
      <c r="N74" s="13">
        <f t="shared" si="7"/>
        <v>-1010948.9835862392</v>
      </c>
      <c r="O74" s="13">
        <f t="shared" si="11"/>
        <v>-744658.5520199365</v>
      </c>
      <c r="P74" s="13"/>
      <c r="R74" s="13"/>
      <c r="S74" s="13"/>
    </row>
    <row r="75" spans="5:19" x14ac:dyDescent="0.25">
      <c r="E75" s="18" t="s">
        <v>77</v>
      </c>
      <c r="F75" s="13">
        <f t="shared" si="5"/>
        <v>56685087.112240836</v>
      </c>
      <c r="G75" s="13">
        <f t="shared" si="3"/>
        <v>-307704.08933063369</v>
      </c>
      <c r="H75" s="13">
        <f t="shared" si="13"/>
        <v>-1050824.8174083463</v>
      </c>
      <c r="I75" s="13">
        <f t="shared" si="10"/>
        <v>-743120.7280777127</v>
      </c>
      <c r="J75" s="18"/>
      <c r="K75" s="18" t="s">
        <v>77</v>
      </c>
      <c r="L75" s="13">
        <f t="shared" si="6"/>
        <v>55739259.881978892</v>
      </c>
      <c r="M75" s="13">
        <f t="shared" si="19"/>
        <v>-262779.77839838131</v>
      </c>
      <c r="N75" s="13">
        <f t="shared" si="7"/>
        <v>-1010948.9835862392</v>
      </c>
      <c r="O75" s="13">
        <f t="shared" si="11"/>
        <v>-748169.20518785785</v>
      </c>
      <c r="P75" s="13"/>
      <c r="R75" s="13"/>
      <c r="S75" s="13"/>
    </row>
    <row r="76" spans="5:19" x14ac:dyDescent="0.25">
      <c r="E76" s="18" t="s">
        <v>78</v>
      </c>
      <c r="F76" s="13">
        <f t="shared" si="5"/>
        <v>55941966.384163126</v>
      </c>
      <c r="G76" s="13">
        <f t="shared" si="3"/>
        <v>-303670.20143269148</v>
      </c>
      <c r="H76" s="13">
        <f t="shared" si="13"/>
        <v>-1050824.8174083463</v>
      </c>
      <c r="I76" s="13">
        <f t="shared" si="10"/>
        <v>-747154.61597565492</v>
      </c>
      <c r="J76" s="18"/>
      <c r="K76" s="18" t="s">
        <v>78</v>
      </c>
      <c r="L76" s="13">
        <f t="shared" si="6"/>
        <v>54991090.676791035</v>
      </c>
      <c r="M76" s="13">
        <f t="shared" si="19"/>
        <v>-259252.57444267682</v>
      </c>
      <c r="N76" s="13">
        <f t="shared" si="7"/>
        <v>-1010948.9835862392</v>
      </c>
      <c r="O76" s="13">
        <f t="shared" si="11"/>
        <v>-751696.40914356231</v>
      </c>
      <c r="P76" s="13"/>
      <c r="R76" s="13"/>
      <c r="S76" s="13"/>
    </row>
    <row r="77" spans="5:19" x14ac:dyDescent="0.25">
      <c r="E77" s="18" t="s">
        <v>79</v>
      </c>
      <c r="F77" s="13">
        <f t="shared" si="5"/>
        <v>55194811.768187471</v>
      </c>
      <c r="G77" s="13">
        <f t="shared" si="3"/>
        <v>-299614.41635040444</v>
      </c>
      <c r="H77" s="13">
        <f t="shared" si="13"/>
        <v>-1050824.8174083463</v>
      </c>
      <c r="I77" s="13">
        <f t="shared" si="10"/>
        <v>-751210.40105794184</v>
      </c>
      <c r="J77" s="18"/>
      <c r="K77" s="18" t="s">
        <v>79</v>
      </c>
      <c r="L77" s="13">
        <f t="shared" si="6"/>
        <v>54239394.267647475</v>
      </c>
      <c r="M77" s="13">
        <f t="shared" si="19"/>
        <v>-255708.74167137968</v>
      </c>
      <c r="N77" s="13">
        <f t="shared" si="7"/>
        <v>-1010948.9835862392</v>
      </c>
      <c r="O77" s="13">
        <f t="shared" si="11"/>
        <v>-755240.24191485951</v>
      </c>
      <c r="P77" s="13"/>
      <c r="R77" s="13"/>
      <c r="S77" s="13"/>
    </row>
    <row r="78" spans="5:19" x14ac:dyDescent="0.25">
      <c r="E78" s="18" t="s">
        <v>80</v>
      </c>
      <c r="F78" s="13">
        <f t="shared" si="5"/>
        <v>54443601.367129527</v>
      </c>
      <c r="G78" s="13">
        <f t="shared" si="3"/>
        <v>-295536.61521912029</v>
      </c>
      <c r="H78" s="13">
        <f t="shared" si="13"/>
        <v>-1050824.8174083463</v>
      </c>
      <c r="I78" s="13">
        <f t="shared" si="10"/>
        <v>-755288.20218922605</v>
      </c>
      <c r="J78" s="18"/>
      <c r="K78" s="18" t="s">
        <v>80</v>
      </c>
      <c r="L78" s="13">
        <f t="shared" si="6"/>
        <v>53484154.025732614</v>
      </c>
      <c r="M78" s="13">
        <f t="shared" si="19"/>
        <v>-252148.20168882259</v>
      </c>
      <c r="N78" s="13">
        <f t="shared" si="7"/>
        <v>-1010948.9835862392</v>
      </c>
      <c r="O78" s="13">
        <f t="shared" si="11"/>
        <v>-758800.78189741657</v>
      </c>
      <c r="P78" s="13"/>
      <c r="R78" s="13"/>
      <c r="S78" s="13"/>
    </row>
    <row r="79" spans="5:19" x14ac:dyDescent="0.25">
      <c r="E79" s="18" t="s">
        <v>20</v>
      </c>
      <c r="F79" s="13">
        <f t="shared" si="5"/>
        <v>53688313.164940298</v>
      </c>
      <c r="G79" s="13">
        <f t="shared" si="3"/>
        <v>-291436.67852895294</v>
      </c>
      <c r="H79" s="13">
        <f t="shared" si="13"/>
        <v>-1050824.8174083463</v>
      </c>
      <c r="I79" s="13">
        <f t="shared" si="10"/>
        <v>-759388.13887939346</v>
      </c>
      <c r="J79" s="18"/>
      <c r="K79" s="18" t="s">
        <v>20</v>
      </c>
      <c r="L79" s="13">
        <f t="shared" si="6"/>
        <v>52725353.243835196</v>
      </c>
      <c r="M79" s="13">
        <f t="shared" si="19"/>
        <v>-248570.87572974595</v>
      </c>
      <c r="N79" s="13">
        <f t="shared" si="7"/>
        <v>-1010948.9835862392</v>
      </c>
      <c r="O79" s="13">
        <f t="shared" si="11"/>
        <v>-762378.10785649321</v>
      </c>
      <c r="P79" s="13"/>
      <c r="R79" s="13"/>
      <c r="S79" s="13"/>
    </row>
    <row r="80" spans="5:19" x14ac:dyDescent="0.25">
      <c r="E80" s="18" t="s">
        <v>81</v>
      </c>
      <c r="F80" s="13">
        <f t="shared" si="5"/>
        <v>52928925.026060902</v>
      </c>
      <c r="G80" s="13">
        <f t="shared" si="3"/>
        <v>-287314.48612127983</v>
      </c>
      <c r="H80" s="13">
        <f t="shared" si="13"/>
        <v>-1050824.8174083463</v>
      </c>
      <c r="I80" s="13">
        <f t="shared" si="10"/>
        <v>-763510.33128706645</v>
      </c>
      <c r="J80" s="18"/>
      <c r="K80" s="18" t="s">
        <v>81</v>
      </c>
      <c r="L80" s="13">
        <f t="shared" si="6"/>
        <v>51962975.135978706</v>
      </c>
      <c r="M80" s="13">
        <f t="shared" si="19"/>
        <v>-244976.68465755563</v>
      </c>
      <c r="N80" s="13">
        <f t="shared" si="7"/>
        <v>-1010948.9835862392</v>
      </c>
      <c r="O80" s="13">
        <f t="shared" si="11"/>
        <v>-765972.29892868351</v>
      </c>
    </row>
    <row r="81" spans="5:15" x14ac:dyDescent="0.25">
      <c r="E81" s="18" t="s">
        <v>82</v>
      </c>
      <c r="F81" s="13">
        <f t="shared" si="5"/>
        <v>52165414.694773838</v>
      </c>
      <c r="G81" s="13">
        <f t="shared" si="3"/>
        <v>-283169.9171852204</v>
      </c>
      <c r="H81" s="13">
        <f t="shared" si="13"/>
        <v>-1050824.8174083463</v>
      </c>
      <c r="I81" s="13">
        <f t="shared" si="10"/>
        <v>-767654.90022312594</v>
      </c>
      <c r="J81" s="18"/>
      <c r="K81" s="18" t="s">
        <v>82</v>
      </c>
      <c r="L81" s="13">
        <f t="shared" si="6"/>
        <v>51197002.837050021</v>
      </c>
      <c r="M81" s="13">
        <f t="shared" si="19"/>
        <v>-241365.54896257207</v>
      </c>
      <c r="N81" s="13">
        <f t="shared" si="7"/>
        <v>-1010948.9835862392</v>
      </c>
      <c r="O81" s="13">
        <f t="shared" si="11"/>
        <v>-769583.43462366704</v>
      </c>
    </row>
    <row r="82" spans="5:15" x14ac:dyDescent="0.25">
      <c r="E82" s="18" t="s">
        <v>83</v>
      </c>
      <c r="F82" s="13">
        <f t="shared" si="5"/>
        <v>51397759.794550709</v>
      </c>
      <c r="G82" s="13">
        <f t="shared" si="3"/>
        <v>-279002.85025409545</v>
      </c>
      <c r="H82" s="13">
        <f t="shared" si="13"/>
        <v>-1050824.8174083463</v>
      </c>
      <c r="I82" s="13">
        <f t="shared" si="10"/>
        <v>-771821.96715425095</v>
      </c>
      <c r="J82" s="18"/>
      <c r="K82" s="18" t="s">
        <v>83</v>
      </c>
      <c r="L82" s="13">
        <f t="shared" si="6"/>
        <v>50427419.402426355</v>
      </c>
      <c r="M82" s="13">
        <f t="shared" si="19"/>
        <v>-237737.38876027172</v>
      </c>
      <c r="N82" s="13">
        <f t="shared" si="7"/>
        <v>-1010948.9835862392</v>
      </c>
      <c r="O82" s="13">
        <f t="shared" si="11"/>
        <v>-773211.59482596745</v>
      </c>
    </row>
    <row r="83" spans="5:15" x14ac:dyDescent="0.25">
      <c r="E83" s="18" t="s">
        <v>84</v>
      </c>
      <c r="F83" s="13">
        <f t="shared" si="5"/>
        <v>50625937.82739646</v>
      </c>
      <c r="G83" s="13">
        <f t="shared" si="3"/>
        <v>-274813.16320186737</v>
      </c>
      <c r="H83" s="13">
        <f t="shared" si="13"/>
        <v>-1050824.8174083463</v>
      </c>
      <c r="I83" s="13">
        <f t="shared" si="10"/>
        <v>-776011.65420647897</v>
      </c>
      <c r="J83" s="18"/>
      <c r="K83" s="18" t="s">
        <v>84</v>
      </c>
      <c r="L83" s="13">
        <f t="shared" si="6"/>
        <v>49654207.807600386</v>
      </c>
      <c r="M83" s="13">
        <f t="shared" si="19"/>
        <v>-234092.1237895196</v>
      </c>
      <c r="N83" s="13">
        <f t="shared" si="7"/>
        <v>-1010948.9835862392</v>
      </c>
      <c r="O83" s="13">
        <f t="shared" si="11"/>
        <v>-776856.85979671963</v>
      </c>
    </row>
    <row r="84" spans="5:15" x14ac:dyDescent="0.25">
      <c r="E84" s="18" t="s">
        <v>85</v>
      </c>
      <c r="F84" s="13">
        <f t="shared" si="5"/>
        <v>49849926.173189983</v>
      </c>
      <c r="G84" s="13">
        <f t="shared" ref="G84:G139" si="26">-$C$26*F84</f>
        <v>-270600.73323956074</v>
      </c>
      <c r="H84" s="13">
        <f t="shared" si="13"/>
        <v>-1050824.8174083463</v>
      </c>
      <c r="I84" s="13">
        <f t="shared" si="10"/>
        <v>-780224.0841687856</v>
      </c>
      <c r="J84" s="18"/>
      <c r="K84" s="18" t="s">
        <v>85</v>
      </c>
      <c r="L84" s="13">
        <f t="shared" si="6"/>
        <v>48877350.947803669</v>
      </c>
      <c r="M84" s="13">
        <f t="shared" ref="M84:M139" si="27">-$D$26*L84</f>
        <v>-230429.67341079388</v>
      </c>
      <c r="N84" s="13">
        <f t="shared" ref="N84:N139" si="28">+$D$29</f>
        <v>-1010948.9835862392</v>
      </c>
      <c r="O84" s="13">
        <f t="shared" si="11"/>
        <v>-780519.31017544528</v>
      </c>
    </row>
    <row r="85" spans="5:15" x14ac:dyDescent="0.25">
      <c r="E85" s="18" t="s">
        <v>86</v>
      </c>
      <c r="F85" s="13">
        <f t="shared" ref="F85:F138" si="29">+F84+I84</f>
        <v>49069702.089021198</v>
      </c>
      <c r="G85" s="13">
        <f t="shared" si="26"/>
        <v>-266365.43691166397</v>
      </c>
      <c r="H85" s="13">
        <f t="shared" ref="H85:H138" si="30">+$H$19</f>
        <v>-1050824.8174083463</v>
      </c>
      <c r="I85" s="13">
        <f t="shared" ref="I85:I138" si="31">+H85-G85</f>
        <v>-784459.38049668237</v>
      </c>
      <c r="J85" s="18"/>
      <c r="K85" s="18" t="s">
        <v>86</v>
      </c>
      <c r="L85" s="13">
        <f t="shared" ref="L85:L138" si="32">+L84+O84</f>
        <v>48096831.63762822</v>
      </c>
      <c r="M85" s="13">
        <f t="shared" si="27"/>
        <v>-226749.95660440202</v>
      </c>
      <c r="N85" s="13">
        <f t="shared" si="28"/>
        <v>-1010948.9835862392</v>
      </c>
      <c r="O85" s="13">
        <f t="shared" si="11"/>
        <v>-784199.02698183712</v>
      </c>
    </row>
    <row r="86" spans="5:15" x14ac:dyDescent="0.25">
      <c r="E86" s="18" t="s">
        <v>87</v>
      </c>
      <c r="F86" s="13">
        <f t="shared" si="29"/>
        <v>48285242.708524518</v>
      </c>
      <c r="G86" s="13">
        <f t="shared" si="26"/>
        <v>-262107.1500925108</v>
      </c>
      <c r="H86" s="13">
        <f t="shared" si="30"/>
        <v>-1050824.8174083463</v>
      </c>
      <c r="I86" s="13">
        <f t="shared" si="31"/>
        <v>-788717.6673158356</v>
      </c>
      <c r="J86" s="18"/>
      <c r="K86" s="18" t="s">
        <v>87</v>
      </c>
      <c r="L86" s="13">
        <f t="shared" si="32"/>
        <v>47312632.610646382</v>
      </c>
      <c r="M86" s="13">
        <f t="shared" si="27"/>
        <v>-223052.89196868843</v>
      </c>
      <c r="N86" s="13">
        <f t="shared" si="28"/>
        <v>-1010948.9835862392</v>
      </c>
      <c r="O86" s="13">
        <f t="shared" si="11"/>
        <v>-787896.0916175507</v>
      </c>
    </row>
    <row r="87" spans="5:15" x14ac:dyDescent="0.25">
      <c r="E87" s="18" t="s">
        <v>88</v>
      </c>
      <c r="F87" s="13">
        <f t="shared" si="29"/>
        <v>47496525.041208684</v>
      </c>
      <c r="G87" s="13">
        <f t="shared" si="26"/>
        <v>-257825.74798264279</v>
      </c>
      <c r="H87" s="13">
        <f t="shared" si="30"/>
        <v>-1050824.8174083463</v>
      </c>
      <c r="I87" s="13">
        <f t="shared" si="31"/>
        <v>-792999.06942570349</v>
      </c>
      <c r="J87" s="18"/>
      <c r="K87" s="18" t="s">
        <v>88</v>
      </c>
      <c r="L87" s="13">
        <f t="shared" si="32"/>
        <v>46524736.519028828</v>
      </c>
      <c r="M87" s="13">
        <f t="shared" si="27"/>
        <v>-219338.39771823373</v>
      </c>
      <c r="N87" s="13">
        <f t="shared" si="28"/>
        <v>-1010948.9835862392</v>
      </c>
      <c r="O87" s="13">
        <f t="shared" ref="O87:O138" si="33">+N87-M87</f>
        <v>-791610.58586800541</v>
      </c>
    </row>
    <row r="88" spans="5:15" x14ac:dyDescent="0.25">
      <c r="E88" s="18" t="s">
        <v>89</v>
      </c>
      <c r="F88" s="13">
        <f t="shared" si="29"/>
        <v>46703525.971782982</v>
      </c>
      <c r="G88" s="13">
        <f t="shared" si="26"/>
        <v>-253521.10510515157</v>
      </c>
      <c r="H88" s="13">
        <f t="shared" si="30"/>
        <v>-1050824.8174083463</v>
      </c>
      <c r="I88" s="13">
        <f t="shared" si="31"/>
        <v>-797303.7123031948</v>
      </c>
      <c r="J88" s="18"/>
      <c r="K88" s="18" t="s">
        <v>89</v>
      </c>
      <c r="L88" s="13">
        <f t="shared" si="32"/>
        <v>45733125.933160819</v>
      </c>
      <c r="M88" s="13">
        <f t="shared" si="27"/>
        <v>-215606.39168204551</v>
      </c>
      <c r="N88" s="13">
        <f t="shared" si="28"/>
        <v>-1010948.9835862392</v>
      </c>
      <c r="O88" s="13">
        <f t="shared" si="33"/>
        <v>-795342.59190419363</v>
      </c>
    </row>
    <row r="89" spans="5:15" x14ac:dyDescent="0.25">
      <c r="E89" s="18" t="s">
        <v>90</v>
      </c>
      <c r="F89" s="13">
        <f t="shared" si="29"/>
        <v>45906222.259479791</v>
      </c>
      <c r="G89" s="13">
        <f t="shared" si="26"/>
        <v>-249193.09530200163</v>
      </c>
      <c r="H89" s="13">
        <f t="shared" si="30"/>
        <v>-1050824.8174083463</v>
      </c>
      <c r="I89" s="13">
        <f t="shared" si="31"/>
        <v>-801631.72210634477</v>
      </c>
      <c r="J89" s="18"/>
      <c r="K89" s="18" t="s">
        <v>90</v>
      </c>
      <c r="L89" s="13">
        <f t="shared" si="32"/>
        <v>44937783.341256626</v>
      </c>
      <c r="M89" s="13">
        <f t="shared" si="27"/>
        <v>-211856.79130174068</v>
      </c>
      <c r="N89" s="13">
        <f t="shared" si="28"/>
        <v>-1010948.9835862392</v>
      </c>
      <c r="O89" s="13">
        <f t="shared" si="33"/>
        <v>-799092.19228449848</v>
      </c>
    </row>
    <row r="90" spans="5:15" x14ac:dyDescent="0.25">
      <c r="E90" s="18" t="s">
        <v>91</v>
      </c>
      <c r="F90" s="13">
        <f t="shared" si="29"/>
        <v>45104590.537373446</v>
      </c>
      <c r="G90" s="13">
        <f t="shared" si="26"/>
        <v>-244841.5917303327</v>
      </c>
      <c r="H90" s="13">
        <f t="shared" si="30"/>
        <v>-1050824.8174083463</v>
      </c>
      <c r="I90" s="13">
        <f t="shared" si="31"/>
        <v>-805983.22567801364</v>
      </c>
      <c r="J90" s="18"/>
      <c r="K90" s="18" t="s">
        <v>91</v>
      </c>
      <c r="L90" s="13">
        <f t="shared" si="32"/>
        <v>44138691.148972124</v>
      </c>
      <c r="M90" s="13">
        <f t="shared" si="27"/>
        <v>-208089.51362971889</v>
      </c>
      <c r="N90" s="13">
        <f t="shared" si="28"/>
        <v>-1010948.9835862392</v>
      </c>
      <c r="O90" s="13">
        <f t="shared" si="33"/>
        <v>-802859.46995652025</v>
      </c>
    </row>
    <row r="91" spans="5:15" x14ac:dyDescent="0.25">
      <c r="E91" s="18" t="s">
        <v>21</v>
      </c>
      <c r="F91" s="13">
        <f t="shared" si="29"/>
        <v>44298607.311695434</v>
      </c>
      <c r="G91" s="13">
        <f t="shared" si="26"/>
        <v>-240466.46685874255</v>
      </c>
      <c r="H91" s="13">
        <f t="shared" si="30"/>
        <v>-1050824.8174083463</v>
      </c>
      <c r="I91" s="13">
        <f t="shared" si="31"/>
        <v>-810358.35054960381</v>
      </c>
      <c r="J91" s="18"/>
      <c r="K91" s="18" t="s">
        <v>21</v>
      </c>
      <c r="L91" s="13">
        <f t="shared" si="32"/>
        <v>43335831.679015607</v>
      </c>
      <c r="M91" s="13">
        <f t="shared" si="27"/>
        <v>-204304.47532732791</v>
      </c>
      <c r="N91" s="13">
        <f t="shared" si="28"/>
        <v>-1010948.9835862392</v>
      </c>
      <c r="O91" s="13">
        <f t="shared" si="33"/>
        <v>-806644.50825891132</v>
      </c>
    </row>
    <row r="92" spans="5:15" x14ac:dyDescent="0.25">
      <c r="E92" s="18" t="s">
        <v>92</v>
      </c>
      <c r="F92" s="13">
        <f t="shared" si="29"/>
        <v>43488248.961145833</v>
      </c>
      <c r="G92" s="13">
        <f t="shared" si="26"/>
        <v>-236067.59246354923</v>
      </c>
      <c r="H92" s="13">
        <f t="shared" si="30"/>
        <v>-1050824.8174083463</v>
      </c>
      <c r="I92" s="13">
        <f t="shared" si="31"/>
        <v>-814757.22494479711</v>
      </c>
      <c r="J92" s="18"/>
      <c r="K92" s="18" t="s">
        <v>92</v>
      </c>
      <c r="L92" s="13">
        <f t="shared" si="32"/>
        <v>42529187.170756698</v>
      </c>
      <c r="M92" s="13">
        <f t="shared" si="27"/>
        <v>-200501.59266301969</v>
      </c>
      <c r="N92" s="13">
        <f t="shared" si="28"/>
        <v>-1010948.9835862392</v>
      </c>
      <c r="O92" s="13">
        <f t="shared" si="33"/>
        <v>-810447.3909232195</v>
      </c>
    </row>
    <row r="93" spans="5:15" x14ac:dyDescent="0.25">
      <c r="E93" s="18" t="s">
        <v>93</v>
      </c>
      <c r="F93" s="13">
        <f t="shared" si="29"/>
        <v>42673491.736201033</v>
      </c>
      <c r="G93" s="13">
        <f t="shared" si="26"/>
        <v>-231644.83962503314</v>
      </c>
      <c r="H93" s="13">
        <f t="shared" si="30"/>
        <v>-1050824.8174083463</v>
      </c>
      <c r="I93" s="13">
        <f t="shared" si="31"/>
        <v>-819179.97778331325</v>
      </c>
      <c r="J93" s="18"/>
      <c r="K93" s="18" t="s">
        <v>93</v>
      </c>
      <c r="L93" s="13">
        <f t="shared" si="32"/>
        <v>41718739.779833481</v>
      </c>
      <c r="M93" s="13">
        <f t="shared" si="27"/>
        <v>-196680.78151049837</v>
      </c>
      <c r="N93" s="13">
        <f t="shared" si="28"/>
        <v>-1010948.9835862392</v>
      </c>
      <c r="O93" s="13">
        <f t="shared" si="33"/>
        <v>-814268.20207574079</v>
      </c>
    </row>
    <row r="94" spans="5:15" x14ac:dyDescent="0.25">
      <c r="E94" s="18" t="s">
        <v>94</v>
      </c>
      <c r="F94" s="13">
        <f t="shared" si="29"/>
        <v>41854311.758417718</v>
      </c>
      <c r="G94" s="13">
        <f t="shared" si="26"/>
        <v>-227198.07872365895</v>
      </c>
      <c r="H94" s="13">
        <f t="shared" si="30"/>
        <v>-1050824.8174083463</v>
      </c>
      <c r="I94" s="13">
        <f t="shared" si="31"/>
        <v>-823626.73868468741</v>
      </c>
      <c r="J94" s="18"/>
      <c r="K94" s="18" t="s">
        <v>94</v>
      </c>
      <c r="L94" s="13">
        <f t="shared" si="32"/>
        <v>40904471.577757739</v>
      </c>
      <c r="M94" s="13">
        <f t="shared" si="27"/>
        <v>-192841.95734685907</v>
      </c>
      <c r="N94" s="13">
        <f t="shared" si="28"/>
        <v>-1010948.9835862392</v>
      </c>
      <c r="O94" s="13">
        <f t="shared" si="33"/>
        <v>-818107.02623938012</v>
      </c>
    </row>
    <row r="95" spans="5:15" x14ac:dyDescent="0.25">
      <c r="E95" s="18" t="s">
        <v>95</v>
      </c>
      <c r="F95" s="13">
        <f t="shared" si="29"/>
        <v>41030685.019733034</v>
      </c>
      <c r="G95" s="13">
        <f t="shared" si="26"/>
        <v>-222727.17943627646</v>
      </c>
      <c r="H95" s="13">
        <f t="shared" si="30"/>
        <v>-1050824.8174083463</v>
      </c>
      <c r="I95" s="13">
        <f t="shared" si="31"/>
        <v>-828097.6379720699</v>
      </c>
      <c r="J95" s="18"/>
      <c r="K95" s="18" t="s">
        <v>95</v>
      </c>
      <c r="L95" s="13">
        <f t="shared" si="32"/>
        <v>40086364.551518358</v>
      </c>
      <c r="M95" s="13">
        <f t="shared" si="27"/>
        <v>-188985.03525071818</v>
      </c>
      <c r="N95" s="13">
        <f t="shared" si="28"/>
        <v>-1010948.9835862392</v>
      </c>
      <c r="O95" s="13">
        <f t="shared" si="33"/>
        <v>-821963.94833552092</v>
      </c>
    </row>
    <row r="96" spans="5:15" x14ac:dyDescent="0.25">
      <c r="E96" s="18" t="s">
        <v>96</v>
      </c>
      <c r="F96" s="13">
        <f t="shared" si="29"/>
        <v>40202587.381760962</v>
      </c>
      <c r="G96" s="13">
        <f t="shared" si="26"/>
        <v>-218232.01073230142</v>
      </c>
      <c r="H96" s="13">
        <f t="shared" si="30"/>
        <v>-1050824.8174083463</v>
      </c>
      <c r="I96" s="13">
        <f t="shared" si="31"/>
        <v>-832592.80667604494</v>
      </c>
      <c r="J96" s="18"/>
      <c r="K96" s="18" t="s">
        <v>96</v>
      </c>
      <c r="L96" s="13">
        <f t="shared" si="32"/>
        <v>39264400.603182837</v>
      </c>
      <c r="M96" s="13">
        <f t="shared" si="27"/>
        <v>-185109.9299003348</v>
      </c>
      <c r="N96" s="13">
        <f t="shared" si="28"/>
        <v>-1010948.9835862392</v>
      </c>
      <c r="O96" s="13">
        <f t="shared" si="33"/>
        <v>-825839.05368590436</v>
      </c>
    </row>
    <row r="97" spans="5:15" x14ac:dyDescent="0.25">
      <c r="E97" s="18" t="s">
        <v>97</v>
      </c>
      <c r="F97" s="13">
        <f t="shared" si="29"/>
        <v>39369994.575084917</v>
      </c>
      <c r="G97" s="13">
        <f t="shared" si="26"/>
        <v>-213712.44086987519</v>
      </c>
      <c r="H97" s="13">
        <f t="shared" si="30"/>
        <v>-1050824.8174083463</v>
      </c>
      <c r="I97" s="13">
        <f t="shared" si="31"/>
        <v>-837112.37653847109</v>
      </c>
      <c r="J97" s="18"/>
      <c r="K97" s="18" t="s">
        <v>97</v>
      </c>
      <c r="L97" s="13">
        <f t="shared" si="32"/>
        <v>38438561.549496934</v>
      </c>
      <c r="M97" s="13">
        <f t="shared" si="27"/>
        <v>-181216.55557172315</v>
      </c>
      <c r="N97" s="13">
        <f t="shared" si="28"/>
        <v>-1010948.9835862392</v>
      </c>
      <c r="O97" s="13">
        <f t="shared" si="33"/>
        <v>-829732.42801451602</v>
      </c>
    </row>
    <row r="98" spans="5:15" x14ac:dyDescent="0.25">
      <c r="E98" s="18" t="s">
        <v>98</v>
      </c>
      <c r="F98" s="13">
        <f t="shared" si="29"/>
        <v>38532882.198546447</v>
      </c>
      <c r="G98" s="13">
        <f t="shared" si="26"/>
        <v>-209168.33739200386</v>
      </c>
      <c r="H98" s="13">
        <f t="shared" si="30"/>
        <v>-1050824.8174083463</v>
      </c>
      <c r="I98" s="13">
        <f t="shared" si="31"/>
        <v>-841656.48001634248</v>
      </c>
      <c r="J98" s="18"/>
      <c r="K98" s="18" t="s">
        <v>98</v>
      </c>
      <c r="L98" s="13">
        <f t="shared" si="32"/>
        <v>37608829.121482417</v>
      </c>
      <c r="M98" s="13">
        <f t="shared" si="27"/>
        <v>-177304.82613675625</v>
      </c>
      <c r="N98" s="13">
        <f t="shared" si="28"/>
        <v>-1010948.9835862392</v>
      </c>
      <c r="O98" s="13">
        <f t="shared" si="33"/>
        <v>-833644.15744948294</v>
      </c>
    </row>
    <row r="99" spans="5:15" x14ac:dyDescent="0.25">
      <c r="E99" s="18" t="s">
        <v>99</v>
      </c>
      <c r="F99" s="13">
        <f t="shared" si="29"/>
        <v>37691225.718530104</v>
      </c>
      <c r="G99" s="13">
        <f t="shared" si="26"/>
        <v>-204599.56712267618</v>
      </c>
      <c r="H99" s="13">
        <f t="shared" si="30"/>
        <v>-1050824.8174083463</v>
      </c>
      <c r="I99" s="13">
        <f t="shared" si="31"/>
        <v>-846225.25028567016</v>
      </c>
      <c r="J99" s="18"/>
      <c r="K99" s="18" t="s">
        <v>99</v>
      </c>
      <c r="L99" s="13">
        <f t="shared" si="32"/>
        <v>36775184.964032933</v>
      </c>
      <c r="M99" s="13">
        <f t="shared" si="27"/>
        <v>-173374.65506126074</v>
      </c>
      <c r="N99" s="13">
        <f t="shared" si="28"/>
        <v>-1010948.9835862392</v>
      </c>
      <c r="O99" s="13">
        <f t="shared" si="33"/>
        <v>-837574.32852497837</v>
      </c>
    </row>
    <row r="100" spans="5:15" x14ac:dyDescent="0.25">
      <c r="E100" s="18" t="s">
        <v>100</v>
      </c>
      <c r="F100" s="13">
        <f t="shared" si="29"/>
        <v>36845000.468244433</v>
      </c>
      <c r="G100" s="13">
        <f t="shared" si="26"/>
        <v>-200005.99616296057</v>
      </c>
      <c r="H100" s="13">
        <f t="shared" si="30"/>
        <v>-1050824.8174083463</v>
      </c>
      <c r="I100" s="13">
        <f t="shared" si="31"/>
        <v>-850818.8212453858</v>
      </c>
      <c r="J100" s="18"/>
      <c r="K100" s="18" t="s">
        <v>100</v>
      </c>
      <c r="L100" s="13">
        <f t="shared" si="32"/>
        <v>35937610.635507956</v>
      </c>
      <c r="M100" s="13">
        <f t="shared" si="27"/>
        <v>-169425.95540310245</v>
      </c>
      <c r="N100" s="13">
        <f t="shared" si="28"/>
        <v>-1010948.9835862392</v>
      </c>
      <c r="O100" s="13">
        <f t="shared" si="33"/>
        <v>-841523.02818313672</v>
      </c>
    </row>
    <row r="101" spans="5:15" x14ac:dyDescent="0.25">
      <c r="E101" s="18" t="s">
        <v>101</v>
      </c>
      <c r="F101" s="13">
        <f t="shared" si="29"/>
        <v>35994181.646999046</v>
      </c>
      <c r="G101" s="13">
        <f t="shared" si="26"/>
        <v>-195387.4898870808</v>
      </c>
      <c r="H101" s="13">
        <f t="shared" si="30"/>
        <v>-1050824.8174083463</v>
      </c>
      <c r="I101" s="13">
        <f t="shared" si="31"/>
        <v>-855437.32752126548</v>
      </c>
      <c r="J101" s="18"/>
      <c r="K101" s="18" t="s">
        <v>101</v>
      </c>
      <c r="L101" s="13">
        <f t="shared" si="32"/>
        <v>35096087.607324816</v>
      </c>
      <c r="M101" s="13">
        <f t="shared" si="27"/>
        <v>-165458.63981026309</v>
      </c>
      <c r="N101" s="13">
        <f t="shared" si="28"/>
        <v>-1010948.9835862392</v>
      </c>
      <c r="O101" s="13">
        <f t="shared" si="33"/>
        <v>-845490.3437759761</v>
      </c>
    </row>
    <row r="102" spans="5:15" x14ac:dyDescent="0.25">
      <c r="E102" s="18" t="s">
        <v>102</v>
      </c>
      <c r="F102" s="13">
        <f t="shared" si="29"/>
        <v>35138744.319477782</v>
      </c>
      <c r="G102" s="13">
        <f t="shared" si="26"/>
        <v>-190743.91293847063</v>
      </c>
      <c r="H102" s="13">
        <f t="shared" si="30"/>
        <v>-1050824.8174083463</v>
      </c>
      <c r="I102" s="13">
        <f t="shared" si="31"/>
        <v>-860080.90446987574</v>
      </c>
      <c r="J102" s="18"/>
      <c r="K102" s="18" t="s">
        <v>102</v>
      </c>
      <c r="L102" s="13">
        <f t="shared" si="32"/>
        <v>34250597.263548844</v>
      </c>
      <c r="M102" s="13">
        <f t="shared" si="27"/>
        <v>-161472.62051890802</v>
      </c>
      <c r="N102" s="13">
        <f t="shared" si="28"/>
        <v>-1010948.9835862392</v>
      </c>
      <c r="O102" s="13">
        <f t="shared" si="33"/>
        <v>-849476.36306733114</v>
      </c>
    </row>
    <row r="103" spans="5:15" x14ac:dyDescent="0.25">
      <c r="E103" s="18" t="s">
        <v>22</v>
      </c>
      <c r="F103" s="13">
        <f t="shared" si="29"/>
        <v>34278663.415007904</v>
      </c>
      <c r="G103" s="13">
        <f t="shared" si="26"/>
        <v>-186075.1292258066</v>
      </c>
      <c r="H103" s="13">
        <f t="shared" si="30"/>
        <v>-1050824.8174083463</v>
      </c>
      <c r="I103" s="13">
        <f t="shared" si="31"/>
        <v>-864749.68818253977</v>
      </c>
      <c r="J103" s="18"/>
      <c r="K103" s="18" t="s">
        <v>22</v>
      </c>
      <c r="L103" s="13">
        <f t="shared" si="32"/>
        <v>33401120.900481511</v>
      </c>
      <c r="M103" s="13">
        <f t="shared" si="27"/>
        <v>-157467.80935144456</v>
      </c>
      <c r="N103" s="13">
        <f t="shared" si="28"/>
        <v>-1010948.9835862392</v>
      </c>
      <c r="O103" s="13">
        <f t="shared" si="33"/>
        <v>-853481.17423479457</v>
      </c>
    </row>
    <row r="104" spans="5:15" x14ac:dyDescent="0.25">
      <c r="E104" s="18" t="s">
        <v>103</v>
      </c>
      <c r="F104" s="13">
        <f t="shared" si="29"/>
        <v>33413913.726825364</v>
      </c>
      <c r="G104" s="13">
        <f t="shared" si="26"/>
        <v>-181381.00191901979</v>
      </c>
      <c r="H104" s="13">
        <f t="shared" si="30"/>
        <v>-1050824.8174083463</v>
      </c>
      <c r="I104" s="13">
        <f t="shared" si="31"/>
        <v>-869443.8154893266</v>
      </c>
      <c r="J104" s="18"/>
      <c r="K104" s="18" t="s">
        <v>103</v>
      </c>
      <c r="L104" s="13">
        <f t="shared" si="32"/>
        <v>32547639.726246715</v>
      </c>
      <c r="M104" s="13">
        <f t="shared" si="27"/>
        <v>-153444.11771457156</v>
      </c>
      <c r="N104" s="13">
        <f t="shared" si="28"/>
        <v>-1010948.9835862392</v>
      </c>
      <c r="O104" s="13">
        <f t="shared" si="33"/>
        <v>-857504.86587166763</v>
      </c>
    </row>
    <row r="105" spans="5:15" x14ac:dyDescent="0.25">
      <c r="E105" s="18" t="s">
        <v>104</v>
      </c>
      <c r="F105" s="13">
        <f t="shared" si="29"/>
        <v>32544469.911336038</v>
      </c>
      <c r="G105" s="13">
        <f t="shared" si="26"/>
        <v>-176661.39344528559</v>
      </c>
      <c r="H105" s="13">
        <f t="shared" si="30"/>
        <v>-1050824.8174083463</v>
      </c>
      <c r="I105" s="13">
        <f t="shared" si="31"/>
        <v>-874163.42396306072</v>
      </c>
      <c r="J105" s="18"/>
      <c r="K105" s="18" t="s">
        <v>104</v>
      </c>
      <c r="L105" s="13">
        <f t="shared" si="32"/>
        <v>31690134.860375047</v>
      </c>
      <c r="M105" s="13">
        <f t="shared" si="27"/>
        <v>-149401.45659731937</v>
      </c>
      <c r="N105" s="13">
        <f t="shared" si="28"/>
        <v>-1010948.9835862392</v>
      </c>
      <c r="O105" s="13">
        <f t="shared" si="33"/>
        <v>-861547.52698891982</v>
      </c>
    </row>
    <row r="106" spans="5:15" x14ac:dyDescent="0.25">
      <c r="E106" s="18" t="s">
        <v>105</v>
      </c>
      <c r="F106" s="13">
        <f t="shared" si="29"/>
        <v>31670306.487372976</v>
      </c>
      <c r="G106" s="13">
        <f t="shared" si="26"/>
        <v>-171916.16548499165</v>
      </c>
      <c r="H106" s="13">
        <f t="shared" si="30"/>
        <v>-1050824.8174083463</v>
      </c>
      <c r="I106" s="13">
        <f t="shared" si="31"/>
        <v>-878908.65192335472</v>
      </c>
      <c r="J106" s="18"/>
      <c r="K106" s="18" t="s">
        <v>105</v>
      </c>
      <c r="L106" s="13">
        <f t="shared" si="32"/>
        <v>30828587.333386127</v>
      </c>
      <c r="M106" s="13">
        <f t="shared" si="27"/>
        <v>-145339.73656908091</v>
      </c>
      <c r="N106" s="13">
        <f t="shared" si="28"/>
        <v>-1010948.9835862392</v>
      </c>
      <c r="O106" s="13">
        <f t="shared" si="33"/>
        <v>-865609.2470171582</v>
      </c>
    </row>
    <row r="107" spans="5:15" x14ac:dyDescent="0.25">
      <c r="E107" s="18" t="s">
        <v>106</v>
      </c>
      <c r="F107" s="13">
        <f t="shared" si="29"/>
        <v>30791397.835449621</v>
      </c>
      <c r="G107" s="13">
        <f t="shared" si="26"/>
        <v>-167145.17896768433</v>
      </c>
      <c r="H107" s="13">
        <f t="shared" si="30"/>
        <v>-1050824.8174083463</v>
      </c>
      <c r="I107" s="13">
        <f t="shared" si="31"/>
        <v>-883679.63844066206</v>
      </c>
      <c r="J107" s="18"/>
      <c r="K107" s="18" t="s">
        <v>106</v>
      </c>
      <c r="L107" s="13">
        <f t="shared" si="32"/>
        <v>29962978.086368971</v>
      </c>
      <c r="M107" s="13">
        <f t="shared" si="27"/>
        <v>-141258.86777763325</v>
      </c>
      <c r="N107" s="13">
        <f t="shared" si="28"/>
        <v>-1010948.9835862392</v>
      </c>
      <c r="O107" s="13">
        <f t="shared" si="33"/>
        <v>-869690.11580860591</v>
      </c>
    </row>
    <row r="108" spans="5:15" x14ac:dyDescent="0.25">
      <c r="E108" s="18" t="s">
        <v>107</v>
      </c>
      <c r="F108" s="13">
        <f t="shared" si="29"/>
        <v>29907718.19700896</v>
      </c>
      <c r="G108" s="13">
        <f t="shared" si="26"/>
        <v>-162348.2940679928</v>
      </c>
      <c r="H108" s="13">
        <f t="shared" si="30"/>
        <v>-1050824.8174083463</v>
      </c>
      <c r="I108" s="13">
        <f t="shared" si="31"/>
        <v>-888476.52334035351</v>
      </c>
      <c r="J108" s="18"/>
      <c r="K108" s="18" t="s">
        <v>107</v>
      </c>
      <c r="L108" s="13">
        <f t="shared" si="32"/>
        <v>29093287.970560364</v>
      </c>
      <c r="M108" s="13">
        <f t="shared" si="27"/>
        <v>-137158.7599471499</v>
      </c>
      <c r="N108" s="13">
        <f t="shared" si="28"/>
        <v>-1010948.9835862392</v>
      </c>
      <c r="O108" s="13">
        <f t="shared" si="33"/>
        <v>-873790.22363908926</v>
      </c>
    </row>
    <row r="109" spans="5:15" x14ac:dyDescent="0.25">
      <c r="E109" s="18" t="s">
        <v>108</v>
      </c>
      <c r="F109" s="13">
        <f t="shared" si="29"/>
        <v>29019241.673668608</v>
      </c>
      <c r="G109" s="13">
        <f t="shared" si="26"/>
        <v>-157525.37020153104</v>
      </c>
      <c r="H109" s="13">
        <f t="shared" si="30"/>
        <v>-1050824.8174083463</v>
      </c>
      <c r="I109" s="13">
        <f t="shared" si="31"/>
        <v>-893299.44720681524</v>
      </c>
      <c r="J109" s="18"/>
      <c r="K109" s="18" t="s">
        <v>108</v>
      </c>
      <c r="L109" s="13">
        <f t="shared" si="32"/>
        <v>28219497.746921275</v>
      </c>
      <c r="M109" s="13">
        <f t="shared" si="27"/>
        <v>-133039.32237620381</v>
      </c>
      <c r="N109" s="13">
        <f t="shared" si="28"/>
        <v>-1010948.9835862392</v>
      </c>
      <c r="O109" s="13">
        <f t="shared" si="33"/>
        <v>-877909.66121003532</v>
      </c>
    </row>
    <row r="110" spans="5:15" x14ac:dyDescent="0.25">
      <c r="E110" s="18" t="s">
        <v>109</v>
      </c>
      <c r="F110" s="13">
        <f t="shared" si="29"/>
        <v>28125942.226461794</v>
      </c>
      <c r="G110" s="13">
        <f t="shared" si="26"/>
        <v>-152676.26602077775</v>
      </c>
      <c r="H110" s="13">
        <f t="shared" si="30"/>
        <v>-1050824.8174083463</v>
      </c>
      <c r="I110" s="13">
        <f t="shared" si="31"/>
        <v>-898148.55138756859</v>
      </c>
      <c r="J110" s="18"/>
      <c r="K110" s="18" t="s">
        <v>109</v>
      </c>
      <c r="L110" s="13">
        <f t="shared" si="32"/>
        <v>27341588.085711241</v>
      </c>
      <c r="M110" s="13">
        <f t="shared" si="27"/>
        <v>-128900.46393576088</v>
      </c>
      <c r="N110" s="13">
        <f t="shared" si="28"/>
        <v>-1010948.9835862392</v>
      </c>
      <c r="O110" s="13">
        <f t="shared" si="33"/>
        <v>-882048.51965047827</v>
      </c>
    </row>
    <row r="111" spans="5:15" x14ac:dyDescent="0.25">
      <c r="E111" s="18" t="s">
        <v>110</v>
      </c>
      <c r="F111" s="13">
        <f t="shared" si="29"/>
        <v>27227793.675074227</v>
      </c>
      <c r="G111" s="13">
        <f t="shared" si="26"/>
        <v>-147800.83941093384</v>
      </c>
      <c r="H111" s="13">
        <f t="shared" si="30"/>
        <v>-1050824.8174083463</v>
      </c>
      <c r="I111" s="13">
        <f t="shared" si="31"/>
        <v>-903023.97799741244</v>
      </c>
      <c r="J111" s="18"/>
      <c r="K111" s="18" t="s">
        <v>110</v>
      </c>
      <c r="L111" s="13">
        <f t="shared" si="32"/>
        <v>26459539.566060763</v>
      </c>
      <c r="M111" s="13">
        <f t="shared" si="27"/>
        <v>-124742.09306716398</v>
      </c>
      <c r="N111" s="13">
        <f t="shared" si="28"/>
        <v>-1010948.9835862392</v>
      </c>
      <c r="O111" s="13">
        <f t="shared" si="33"/>
        <v>-886206.89051907521</v>
      </c>
    </row>
    <row r="112" spans="5:15" x14ac:dyDescent="0.25">
      <c r="E112" s="18" t="s">
        <v>111</v>
      </c>
      <c r="F112" s="13">
        <f t="shared" si="29"/>
        <v>26324769.697076816</v>
      </c>
      <c r="G112" s="13">
        <f t="shared" si="26"/>
        <v>-142898.94748575735</v>
      </c>
      <c r="H112" s="13">
        <f t="shared" si="30"/>
        <v>-1050824.8174083463</v>
      </c>
      <c r="I112" s="13">
        <f t="shared" si="31"/>
        <v>-907925.86992258905</v>
      </c>
      <c r="J112" s="18"/>
      <c r="K112" s="18" t="s">
        <v>111</v>
      </c>
      <c r="L112" s="13">
        <f t="shared" si="32"/>
        <v>25573332.675541688</v>
      </c>
      <c r="M112" s="13">
        <f t="shared" si="27"/>
        <v>-120564.1177801076</v>
      </c>
      <c r="N112" s="13">
        <f t="shared" si="28"/>
        <v>-1010948.9835862392</v>
      </c>
      <c r="O112" s="13">
        <f t="shared" si="33"/>
        <v>-890384.86580613162</v>
      </c>
    </row>
    <row r="113" spans="5:15" x14ac:dyDescent="0.25">
      <c r="E113" s="18" t="s">
        <v>112</v>
      </c>
      <c r="F113" s="13">
        <f t="shared" si="29"/>
        <v>25416843.827154227</v>
      </c>
      <c r="G113" s="13">
        <f t="shared" si="26"/>
        <v>-137970.44658337583</v>
      </c>
      <c r="H113" s="13">
        <f t="shared" si="30"/>
        <v>-1050824.8174083463</v>
      </c>
      <c r="I113" s="13">
        <f t="shared" si="31"/>
        <v>-912854.37082497054</v>
      </c>
      <c r="J113" s="18"/>
      <c r="K113" s="18" t="s">
        <v>112</v>
      </c>
      <c r="L113" s="13">
        <f t="shared" si="32"/>
        <v>24682947.809735555</v>
      </c>
      <c r="M113" s="13">
        <f t="shared" si="27"/>
        <v>-116366.44565060279</v>
      </c>
      <c r="N113" s="13">
        <f t="shared" si="28"/>
        <v>-1010948.9835862392</v>
      </c>
      <c r="O113" s="13">
        <f t="shared" si="33"/>
        <v>-894582.53793563636</v>
      </c>
    </row>
    <row r="114" spans="5:15" x14ac:dyDescent="0.25">
      <c r="E114" s="18" t="s">
        <v>113</v>
      </c>
      <c r="F114" s="13">
        <f t="shared" si="29"/>
        <v>24503989.456329256</v>
      </c>
      <c r="G114" s="13">
        <f t="shared" si="26"/>
        <v>-133015.19226207605</v>
      </c>
      <c r="H114" s="13">
        <f t="shared" si="30"/>
        <v>-1050824.8174083463</v>
      </c>
      <c r="I114" s="13">
        <f t="shared" si="31"/>
        <v>-917809.62514627026</v>
      </c>
      <c r="J114" s="18"/>
      <c r="K114" s="18" t="s">
        <v>113</v>
      </c>
      <c r="L114" s="13">
        <f t="shared" si="32"/>
        <v>23788365.271799918</v>
      </c>
      <c r="M114" s="13">
        <f t="shared" si="27"/>
        <v>-112148.98381893265</v>
      </c>
      <c r="N114" s="13">
        <f t="shared" si="28"/>
        <v>-1010948.9835862392</v>
      </c>
      <c r="O114" s="13">
        <f t="shared" si="33"/>
        <v>-898799.99976730649</v>
      </c>
    </row>
    <row r="115" spans="5:15" x14ac:dyDescent="0.25">
      <c r="E115" s="18" t="s">
        <v>23</v>
      </c>
      <c r="F115" s="13">
        <f t="shared" si="29"/>
        <v>23586179.831182986</v>
      </c>
      <c r="G115" s="13">
        <f t="shared" si="26"/>
        <v>-128033.03929607068</v>
      </c>
      <c r="H115" s="13">
        <f t="shared" si="30"/>
        <v>-1050824.8174083463</v>
      </c>
      <c r="I115" s="13">
        <f t="shared" si="31"/>
        <v>-922791.77811227564</v>
      </c>
      <c r="J115" s="18"/>
      <c r="K115" s="18" t="s">
        <v>23</v>
      </c>
      <c r="L115" s="13">
        <f t="shared" si="32"/>
        <v>22889565.272032611</v>
      </c>
      <c r="M115" s="13">
        <f t="shared" si="27"/>
        <v>-107911.63898759808</v>
      </c>
      <c r="N115" s="13">
        <f t="shared" si="28"/>
        <v>-1010948.9835862392</v>
      </c>
      <c r="O115" s="13">
        <f t="shared" si="33"/>
        <v>-903037.34459864104</v>
      </c>
    </row>
    <row r="116" spans="5:15" x14ac:dyDescent="0.25">
      <c r="E116" s="18" t="s">
        <v>114</v>
      </c>
      <c r="F116" s="13">
        <f t="shared" si="29"/>
        <v>22663388.053070709</v>
      </c>
      <c r="G116" s="13">
        <f t="shared" si="26"/>
        <v>-123023.84167124216</v>
      </c>
      <c r="H116" s="13">
        <f t="shared" si="30"/>
        <v>-1050824.8174083463</v>
      </c>
      <c r="I116" s="13">
        <f t="shared" si="31"/>
        <v>-927800.97573710419</v>
      </c>
      <c r="J116" s="18"/>
      <c r="K116" s="18" t="s">
        <v>114</v>
      </c>
      <c r="L116" s="13">
        <f t="shared" si="32"/>
        <v>21986527.927433971</v>
      </c>
      <c r="M116" s="13">
        <f t="shared" si="27"/>
        <v>-103654.31741925384</v>
      </c>
      <c r="N116" s="13">
        <f t="shared" si="28"/>
        <v>-1010948.9835862392</v>
      </c>
      <c r="O116" s="13">
        <f t="shared" si="33"/>
        <v>-907294.66616698529</v>
      </c>
    </row>
    <row r="117" spans="5:15" x14ac:dyDescent="0.25">
      <c r="E117" s="18" t="s">
        <v>115</v>
      </c>
      <c r="F117" s="13">
        <f t="shared" si="29"/>
        <v>21735587.077333607</v>
      </c>
      <c r="G117" s="13">
        <f t="shared" si="26"/>
        <v>-117987.45258086342</v>
      </c>
      <c r="H117" s="13">
        <f t="shared" si="30"/>
        <v>-1050824.8174083463</v>
      </c>
      <c r="I117" s="13">
        <f t="shared" si="31"/>
        <v>-932837.36482748296</v>
      </c>
      <c r="J117" s="18"/>
      <c r="K117" s="18" t="s">
        <v>115</v>
      </c>
      <c r="L117" s="13">
        <f t="shared" si="32"/>
        <v>21079233.261266988</v>
      </c>
      <c r="M117" s="13">
        <f t="shared" si="27"/>
        <v>-99376.924934634997</v>
      </c>
      <c r="N117" s="13">
        <f t="shared" si="28"/>
        <v>-1010948.9835862392</v>
      </c>
      <c r="O117" s="13">
        <f t="shared" si="33"/>
        <v>-911572.05865160422</v>
      </c>
    </row>
    <row r="118" spans="5:15" x14ac:dyDescent="0.25">
      <c r="E118" s="18" t="s">
        <v>116</v>
      </c>
      <c r="F118" s="13">
        <f t="shared" si="29"/>
        <v>20802749.712506123</v>
      </c>
      <c r="G118" s="13">
        <f t="shared" si="26"/>
        <v>-112923.72442129524</v>
      </c>
      <c r="H118" s="13">
        <f t="shared" si="30"/>
        <v>-1050824.8174083463</v>
      </c>
      <c r="I118" s="13">
        <f t="shared" si="31"/>
        <v>-937901.09298705112</v>
      </c>
      <c r="J118" s="18"/>
      <c r="K118" s="18" t="s">
        <v>116</v>
      </c>
      <c r="L118" s="13">
        <f t="shared" si="32"/>
        <v>20167661.202615384</v>
      </c>
      <c r="M118" s="13">
        <f t="shared" si="27"/>
        <v>-95079.366910473444</v>
      </c>
      <c r="N118" s="13">
        <f t="shared" si="28"/>
        <v>-1010948.9835862392</v>
      </c>
      <c r="O118" s="13">
        <f t="shared" si="33"/>
        <v>-915869.61667576572</v>
      </c>
    </row>
    <row r="119" spans="5:15" x14ac:dyDescent="0.25">
      <c r="E119" s="18" t="s">
        <v>117</v>
      </c>
      <c r="F119" s="13">
        <f t="shared" si="29"/>
        <v>19864848.619519074</v>
      </c>
      <c r="G119" s="13">
        <f t="shared" si="26"/>
        <v>-107832.50878766052</v>
      </c>
      <c r="H119" s="13">
        <f t="shared" si="30"/>
        <v>-1050824.8174083463</v>
      </c>
      <c r="I119" s="13">
        <f t="shared" si="31"/>
        <v>-942992.30862068583</v>
      </c>
      <c r="J119" s="18"/>
      <c r="K119" s="18" t="s">
        <v>117</v>
      </c>
      <c r="L119" s="13">
        <f t="shared" si="32"/>
        <v>19251791.58593962</v>
      </c>
      <c r="M119" s="13">
        <f t="shared" si="27"/>
        <v>-90761.548277404727</v>
      </c>
      <c r="N119" s="13">
        <f t="shared" si="28"/>
        <v>-1010948.9835862392</v>
      </c>
      <c r="O119" s="13">
        <f t="shared" si="33"/>
        <v>-920187.43530883442</v>
      </c>
    </row>
    <row r="120" spans="5:15" x14ac:dyDescent="0.25">
      <c r="E120" s="18" t="s">
        <v>118</v>
      </c>
      <c r="F120" s="13">
        <f t="shared" si="29"/>
        <v>18921856.310898386</v>
      </c>
      <c r="G120" s="13">
        <f t="shared" si="26"/>
        <v>-102713.6564694948</v>
      </c>
      <c r="H120" s="13">
        <f t="shared" si="30"/>
        <v>-1050824.8174083463</v>
      </c>
      <c r="I120" s="13">
        <f t="shared" si="31"/>
        <v>-948111.16093885154</v>
      </c>
      <c r="J120" s="18"/>
      <c r="K120" s="18" t="s">
        <v>118</v>
      </c>
      <c r="L120" s="13">
        <f t="shared" si="32"/>
        <v>18331604.150630787</v>
      </c>
      <c r="M120" s="13">
        <f t="shared" si="27"/>
        <v>-86423.373517864937</v>
      </c>
      <c r="N120" s="13">
        <f t="shared" si="28"/>
        <v>-1010948.9835862392</v>
      </c>
      <c r="O120" s="13">
        <f t="shared" si="33"/>
        <v>-924525.6100683742</v>
      </c>
    </row>
    <row r="121" spans="5:15" x14ac:dyDescent="0.25">
      <c r="E121" s="18" t="s">
        <v>119</v>
      </c>
      <c r="F121" s="13">
        <f t="shared" si="29"/>
        <v>17973745.149959534</v>
      </c>
      <c r="G121" s="13">
        <f t="shared" si="26"/>
        <v>-97567.017446373313</v>
      </c>
      <c r="H121" s="13">
        <f t="shared" si="30"/>
        <v>-1050824.8174083463</v>
      </c>
      <c r="I121" s="13">
        <f t="shared" si="31"/>
        <v>-953257.79996197298</v>
      </c>
      <c r="J121" s="18"/>
      <c r="K121" s="18" t="s">
        <v>119</v>
      </c>
      <c r="L121" s="13">
        <f t="shared" si="32"/>
        <v>17407078.540562414</v>
      </c>
      <c r="M121" s="13">
        <f t="shared" si="27"/>
        <v>-82064.746663977639</v>
      </c>
      <c r="N121" s="13">
        <f t="shared" si="28"/>
        <v>-1010948.9835862392</v>
      </c>
      <c r="O121" s="13">
        <f t="shared" si="33"/>
        <v>-928884.23692226154</v>
      </c>
    </row>
    <row r="122" spans="5:15" x14ac:dyDescent="0.25">
      <c r="E122" s="18" t="s">
        <v>120</v>
      </c>
      <c r="F122" s="13">
        <f t="shared" si="29"/>
        <v>17020487.349997561</v>
      </c>
      <c r="G122" s="13">
        <f t="shared" si="26"/>
        <v>-92392.440883514311</v>
      </c>
      <c r="H122" s="13">
        <f t="shared" si="30"/>
        <v>-1050824.8174083463</v>
      </c>
      <c r="I122" s="13">
        <f t="shared" si="31"/>
        <v>-958432.37652483198</v>
      </c>
      <c r="J122" s="18"/>
      <c r="K122" s="18" t="s">
        <v>120</v>
      </c>
      <c r="L122" s="13">
        <f t="shared" si="32"/>
        <v>16478194.303640151</v>
      </c>
      <c r="M122" s="13">
        <f t="shared" si="27"/>
        <v>-77685.571295431015</v>
      </c>
      <c r="N122" s="13">
        <f t="shared" si="28"/>
        <v>-1010948.9835862392</v>
      </c>
      <c r="O122" s="13">
        <f t="shared" si="33"/>
        <v>-933263.41229080816</v>
      </c>
    </row>
    <row r="123" spans="5:15" x14ac:dyDescent="0.25">
      <c r="E123" s="18" t="s">
        <v>121</v>
      </c>
      <c r="F123" s="13">
        <f t="shared" si="29"/>
        <v>16062054.973472729</v>
      </c>
      <c r="G123" s="13">
        <f t="shared" si="26"/>
        <v>-87189.775127358429</v>
      </c>
      <c r="H123" s="13">
        <f t="shared" si="30"/>
        <v>-1050824.8174083463</v>
      </c>
      <c r="I123" s="13">
        <f t="shared" si="31"/>
        <v>-963635.04228098795</v>
      </c>
      <c r="J123" s="18"/>
      <c r="K123" s="18" t="s">
        <v>121</v>
      </c>
      <c r="L123" s="13">
        <f t="shared" si="32"/>
        <v>15544930.891349344</v>
      </c>
      <c r="M123" s="13">
        <f t="shared" si="27"/>
        <v>-73285.750537344749</v>
      </c>
      <c r="N123" s="13">
        <f t="shared" si="28"/>
        <v>-1010948.9835862392</v>
      </c>
      <c r="O123" s="13">
        <f t="shared" si="33"/>
        <v>-937663.23304889444</v>
      </c>
    </row>
    <row r="124" spans="5:15" x14ac:dyDescent="0.25">
      <c r="E124" s="18" t="s">
        <v>122</v>
      </c>
      <c r="F124" s="13">
        <f t="shared" si="29"/>
        <v>15098419.931191741</v>
      </c>
      <c r="G124" s="13">
        <f t="shared" si="26"/>
        <v>-81958.867701124138</v>
      </c>
      <c r="H124" s="13">
        <f t="shared" si="30"/>
        <v>-1050824.8174083463</v>
      </c>
      <c r="I124" s="13">
        <f t="shared" si="31"/>
        <v>-968865.94970722217</v>
      </c>
      <c r="J124" s="18"/>
      <c r="K124" s="18" t="s">
        <v>122</v>
      </c>
      <c r="L124" s="13">
        <f t="shared" si="32"/>
        <v>14607267.658300448</v>
      </c>
      <c r="M124" s="13">
        <f t="shared" si="27"/>
        <v>-68865.187058127078</v>
      </c>
      <c r="N124" s="13">
        <f t="shared" si="28"/>
        <v>-1010948.9835862392</v>
      </c>
      <c r="O124" s="13">
        <f t="shared" si="33"/>
        <v>-942083.79652811214</v>
      </c>
    </row>
    <row r="125" spans="5:15" x14ac:dyDescent="0.25">
      <c r="E125" s="18" t="s">
        <v>123</v>
      </c>
      <c r="F125" s="13">
        <f t="shared" si="29"/>
        <v>14129553.981484517</v>
      </c>
      <c r="G125" s="13">
        <f t="shared" si="26"/>
        <v>-76699.565300339047</v>
      </c>
      <c r="H125" s="13">
        <f t="shared" si="30"/>
        <v>-1050824.8174083463</v>
      </c>
      <c r="I125" s="13">
        <f t="shared" si="31"/>
        <v>-974125.25210800732</v>
      </c>
      <c r="J125" s="18"/>
      <c r="K125" s="18" t="s">
        <v>123</v>
      </c>
      <c r="L125" s="13">
        <f t="shared" si="32"/>
        <v>13665183.861772336</v>
      </c>
      <c r="M125" s="13">
        <f t="shared" si="27"/>
        <v>-64423.783067321623</v>
      </c>
      <c r="N125" s="13">
        <f t="shared" si="28"/>
        <v>-1010948.9835862392</v>
      </c>
      <c r="O125" s="13">
        <f t="shared" si="33"/>
        <v>-946525.20051891753</v>
      </c>
    </row>
    <row r="126" spans="5:15" x14ac:dyDescent="0.25">
      <c r="E126" s="18" t="s">
        <v>124</v>
      </c>
      <c r="F126" s="13">
        <f t="shared" si="29"/>
        <v>13155428.72937651</v>
      </c>
      <c r="G126" s="13">
        <f t="shared" si="26"/>
        <v>-71411.713788346911</v>
      </c>
      <c r="H126" s="13">
        <f t="shared" si="30"/>
        <v>-1050824.8174083463</v>
      </c>
      <c r="I126" s="13">
        <f t="shared" si="31"/>
        <v>-979413.10361999949</v>
      </c>
      <c r="J126" s="18"/>
      <c r="K126" s="18" t="s">
        <v>124</v>
      </c>
      <c r="L126" s="13">
        <f t="shared" si="32"/>
        <v>12718658.661253419</v>
      </c>
      <c r="M126" s="13">
        <f t="shared" si="27"/>
        <v>-59961.440313444102</v>
      </c>
      <c r="N126" s="13">
        <f t="shared" si="28"/>
        <v>-1010948.9835862392</v>
      </c>
      <c r="O126" s="13">
        <f t="shared" si="33"/>
        <v>-950987.54327279504</v>
      </c>
    </row>
    <row r="127" spans="5:15" x14ac:dyDescent="0.25">
      <c r="E127" s="18" t="s">
        <v>24</v>
      </c>
      <c r="F127" s="13">
        <f t="shared" si="29"/>
        <v>12176015.62575651</v>
      </c>
      <c r="G127" s="13">
        <f t="shared" si="26"/>
        <v>-66095.158191790324</v>
      </c>
      <c r="H127" s="13">
        <f t="shared" si="30"/>
        <v>-1050824.8174083463</v>
      </c>
      <c r="I127" s="13">
        <f t="shared" si="31"/>
        <v>-984729.659216556</v>
      </c>
      <c r="J127" s="18"/>
      <c r="K127" s="18" t="s">
        <v>24</v>
      </c>
      <c r="L127" s="13">
        <f t="shared" si="32"/>
        <v>11767671.117980624</v>
      </c>
      <c r="M127" s="13">
        <f t="shared" si="27"/>
        <v>-55478.060081808813</v>
      </c>
      <c r="N127" s="13">
        <f t="shared" si="28"/>
        <v>-1010948.9835862392</v>
      </c>
      <c r="O127" s="13">
        <f t="shared" si="33"/>
        <v>-955470.92350443034</v>
      </c>
    </row>
    <row r="128" spans="5:15" x14ac:dyDescent="0.25">
      <c r="E128" s="18" t="s">
        <v>125</v>
      </c>
      <c r="F128" s="13">
        <f t="shared" si="29"/>
        <v>11191285.966539953</v>
      </c>
      <c r="G128" s="13">
        <f t="shared" si="26"/>
        <v>-60749.74269606881</v>
      </c>
      <c r="H128" s="13">
        <f t="shared" si="30"/>
        <v>-1050824.8174083463</v>
      </c>
      <c r="I128" s="13">
        <f t="shared" si="31"/>
        <v>-990075.07471227751</v>
      </c>
      <c r="J128" s="18"/>
      <c r="K128" s="18" t="s">
        <v>125</v>
      </c>
      <c r="L128" s="13">
        <f t="shared" si="32"/>
        <v>10812200.194476193</v>
      </c>
      <c r="M128" s="13">
        <f t="shared" si="27"/>
        <v>-50973.543192344921</v>
      </c>
      <c r="N128" s="13">
        <f t="shared" si="28"/>
        <v>-1010948.9835862392</v>
      </c>
      <c r="O128" s="13">
        <f t="shared" si="33"/>
        <v>-959975.44039389421</v>
      </c>
    </row>
    <row r="129" spans="5:15" x14ac:dyDescent="0.25">
      <c r="E129" s="18" t="s">
        <v>126</v>
      </c>
      <c r="F129" s="13">
        <f t="shared" si="29"/>
        <v>10201210.891827675</v>
      </c>
      <c r="G129" s="13">
        <f t="shared" si="26"/>
        <v>-55375.310640772324</v>
      </c>
      <c r="H129" s="13">
        <f t="shared" si="30"/>
        <v>-1050824.8174083463</v>
      </c>
      <c r="I129" s="13">
        <f t="shared" si="31"/>
        <v>-995449.506767574</v>
      </c>
      <c r="J129" s="18"/>
      <c r="K129" s="18" t="s">
        <v>126</v>
      </c>
      <c r="L129" s="13">
        <f t="shared" si="32"/>
        <v>9852224.7540822979</v>
      </c>
      <c r="M129" s="13">
        <f t="shared" si="27"/>
        <v>-46447.789997402426</v>
      </c>
      <c r="N129" s="13">
        <f t="shared" si="28"/>
        <v>-1010948.9835862392</v>
      </c>
      <c r="O129" s="13">
        <f t="shared" si="33"/>
        <v>-964501.1935888367</v>
      </c>
    </row>
    <row r="130" spans="5:15" x14ac:dyDescent="0.25">
      <c r="E130" s="18" t="s">
        <v>127</v>
      </c>
      <c r="F130" s="13">
        <f t="shared" si="29"/>
        <v>9205761.3850600999</v>
      </c>
      <c r="G130" s="13">
        <f t="shared" si="26"/>
        <v>-49971.704515089928</v>
      </c>
      <c r="H130" s="13">
        <f t="shared" si="30"/>
        <v>-1050824.8174083463</v>
      </c>
      <c r="I130" s="13">
        <f t="shared" si="31"/>
        <v>-1000853.1128932564</v>
      </c>
      <c r="J130" s="18"/>
      <c r="K130" s="18" t="s">
        <v>127</v>
      </c>
      <c r="L130" s="13">
        <f t="shared" si="32"/>
        <v>8887723.5604934618</v>
      </c>
      <c r="M130" s="13">
        <f t="shared" si="27"/>
        <v>-41900.700379547765</v>
      </c>
      <c r="N130" s="13">
        <f t="shared" si="28"/>
        <v>-1010948.9835862392</v>
      </c>
      <c r="O130" s="13">
        <f t="shared" si="33"/>
        <v>-969048.28320669138</v>
      </c>
    </row>
    <row r="131" spans="5:15" x14ac:dyDescent="0.25">
      <c r="E131" s="18" t="s">
        <v>128</v>
      </c>
      <c r="F131" s="13">
        <f t="shared" si="29"/>
        <v>8204908.2721668435</v>
      </c>
      <c r="G131" s="13">
        <f t="shared" si="26"/>
        <v>-44538.765953193535</v>
      </c>
      <c r="H131" s="13">
        <f t="shared" si="30"/>
        <v>-1050824.8174083463</v>
      </c>
      <c r="I131" s="13">
        <f t="shared" si="31"/>
        <v>-1006286.0514551528</v>
      </c>
      <c r="J131" s="18"/>
      <c r="K131" s="18" t="s">
        <v>128</v>
      </c>
      <c r="L131" s="13">
        <f t="shared" si="32"/>
        <v>7918675.2772867708</v>
      </c>
      <c r="M131" s="13">
        <f t="shared" si="27"/>
        <v>-37332.17374934908</v>
      </c>
      <c r="N131" s="13">
        <f t="shared" si="28"/>
        <v>-1010948.9835862392</v>
      </c>
      <c r="O131" s="13">
        <f t="shared" si="33"/>
        <v>-973616.80983689008</v>
      </c>
    </row>
    <row r="132" spans="5:15" x14ac:dyDescent="0.25">
      <c r="E132" s="18" t="s">
        <v>129</v>
      </c>
      <c r="F132" s="13">
        <f t="shared" si="29"/>
        <v>7198622.2207116904</v>
      </c>
      <c r="G132" s="13">
        <f t="shared" si="26"/>
        <v>-39076.335729596642</v>
      </c>
      <c r="H132" s="13">
        <f t="shared" si="30"/>
        <v>-1050824.8174083463</v>
      </c>
      <c r="I132" s="13">
        <f t="shared" si="31"/>
        <v>-1011748.4816787497</v>
      </c>
      <c r="J132" s="18"/>
      <c r="K132" s="18" t="s">
        <v>129</v>
      </c>
      <c r="L132" s="13">
        <f t="shared" si="32"/>
        <v>6945058.4674498811</v>
      </c>
      <c r="M132" s="13">
        <f t="shared" si="27"/>
        <v>-32742.109043150944</v>
      </c>
      <c r="N132" s="13">
        <f t="shared" si="28"/>
        <v>-1010948.9835862392</v>
      </c>
      <c r="O132" s="13">
        <f t="shared" si="33"/>
        <v>-978206.87454308826</v>
      </c>
    </row>
    <row r="133" spans="5:15" x14ac:dyDescent="0.25">
      <c r="E133" s="18" t="s">
        <v>130</v>
      </c>
      <c r="F133" s="13">
        <f t="shared" si="29"/>
        <v>6186873.7390329409</v>
      </c>
      <c r="G133" s="13">
        <f t="shared" si="26"/>
        <v>-33584.253754487829</v>
      </c>
      <c r="H133" s="13">
        <f t="shared" si="30"/>
        <v>-1050824.8174083463</v>
      </c>
      <c r="I133" s="13">
        <f t="shared" si="31"/>
        <v>-1017240.5636538585</v>
      </c>
      <c r="J133" s="18"/>
      <c r="K133" s="18" t="s">
        <v>130</v>
      </c>
      <c r="L133" s="13">
        <f t="shared" si="32"/>
        <v>5966851.5929067926</v>
      </c>
      <c r="M133" s="13">
        <f t="shared" si="27"/>
        <v>-28130.404720838727</v>
      </c>
      <c r="N133" s="13">
        <f t="shared" si="28"/>
        <v>-1010948.9835862392</v>
      </c>
      <c r="O133" s="13">
        <f t="shared" si="33"/>
        <v>-982818.5788654004</v>
      </c>
    </row>
    <row r="134" spans="5:15" x14ac:dyDescent="0.25">
      <c r="E134" s="18" t="s">
        <v>131</v>
      </c>
      <c r="F134" s="13">
        <f t="shared" si="29"/>
        <v>5169633.1753790826</v>
      </c>
      <c r="G134" s="13">
        <f t="shared" si="26"/>
        <v>-28062.359069038921</v>
      </c>
      <c r="H134" s="13">
        <f t="shared" si="30"/>
        <v>-1050824.8174083463</v>
      </c>
      <c r="I134" s="13">
        <f t="shared" si="31"/>
        <v>-1022762.4583393075</v>
      </c>
      <c r="J134" s="18"/>
      <c r="K134" s="18" t="s">
        <v>131</v>
      </c>
      <c r="L134" s="13">
        <f t="shared" si="32"/>
        <v>4984033.0140413921</v>
      </c>
      <c r="M134" s="13">
        <f t="shared" si="27"/>
        <v>-23496.95876359232</v>
      </c>
      <c r="N134" s="13">
        <f t="shared" si="28"/>
        <v>-1010948.9835862392</v>
      </c>
      <c r="O134" s="13">
        <f t="shared" si="33"/>
        <v>-987452.02482264687</v>
      </c>
    </row>
    <row r="135" spans="5:15" x14ac:dyDescent="0.25">
      <c r="E135" s="18" t="s">
        <v>132</v>
      </c>
      <c r="F135" s="13">
        <f t="shared" si="29"/>
        <v>4146870.7170397751</v>
      </c>
      <c r="G135" s="13">
        <f t="shared" si="26"/>
        <v>-22510.489840687726</v>
      </c>
      <c r="H135" s="13">
        <f t="shared" si="30"/>
        <v>-1050824.8174083463</v>
      </c>
      <c r="I135" s="13">
        <f t="shared" si="31"/>
        <v>-1028314.3275676586</v>
      </c>
      <c r="J135" s="18"/>
      <c r="K135" s="18" t="s">
        <v>132</v>
      </c>
      <c r="L135" s="13">
        <f t="shared" si="32"/>
        <v>3996580.9892187454</v>
      </c>
      <c r="M135" s="13">
        <f t="shared" si="27"/>
        <v>-18841.668671629301</v>
      </c>
      <c r="N135" s="13">
        <f t="shared" si="28"/>
        <v>-1010948.9835862392</v>
      </c>
      <c r="O135" s="13">
        <f t="shared" si="33"/>
        <v>-992107.31491460989</v>
      </c>
    </row>
    <row r="136" spans="5:15" x14ac:dyDescent="0.25">
      <c r="E136" s="18" t="s">
        <v>133</v>
      </c>
      <c r="F136" s="13">
        <f t="shared" si="29"/>
        <v>3118556.3894721167</v>
      </c>
      <c r="G136" s="13">
        <f t="shared" si="26"/>
        <v>-16928.483358395122</v>
      </c>
      <c r="H136" s="13">
        <f t="shared" si="30"/>
        <v>-1050824.8174083463</v>
      </c>
      <c r="I136" s="13">
        <f t="shared" si="31"/>
        <v>-1033896.3340499512</v>
      </c>
      <c r="J136" s="18"/>
      <c r="K136" s="18" t="s">
        <v>133</v>
      </c>
      <c r="L136" s="13">
        <f t="shared" si="32"/>
        <v>3004473.6743041356</v>
      </c>
      <c r="M136" s="13">
        <f t="shared" si="27"/>
        <v>-14164.431461937478</v>
      </c>
      <c r="N136" s="13">
        <f t="shared" si="28"/>
        <v>-1010948.9835862392</v>
      </c>
      <c r="O136" s="13">
        <f t="shared" si="33"/>
        <v>-996784.55212430167</v>
      </c>
    </row>
    <row r="137" spans="5:15" x14ac:dyDescent="0.25">
      <c r="E137" s="18" t="s">
        <v>134</v>
      </c>
      <c r="F137" s="13">
        <f t="shared" si="29"/>
        <v>2084660.0554221654</v>
      </c>
      <c r="G137" s="13">
        <f t="shared" si="26"/>
        <v>-11316.17602787641</v>
      </c>
      <c r="H137" s="13">
        <f t="shared" si="30"/>
        <v>-1050824.8174083463</v>
      </c>
      <c r="I137" s="13">
        <f t="shared" si="31"/>
        <v>-1039508.6413804699</v>
      </c>
      <c r="J137" s="18"/>
      <c r="K137" s="18" t="s">
        <v>134</v>
      </c>
      <c r="L137" s="13">
        <f t="shared" si="32"/>
        <v>2007689.1221798339</v>
      </c>
      <c r="M137" s="13">
        <f t="shared" si="27"/>
        <v>-9465.1436659967185</v>
      </c>
      <c r="N137" s="13">
        <f t="shared" si="28"/>
        <v>-1010948.9835862392</v>
      </c>
      <c r="O137" s="13">
        <f t="shared" si="33"/>
        <v>-1001483.8399202424</v>
      </c>
    </row>
    <row r="138" spans="5:15" x14ac:dyDescent="0.25">
      <c r="E138" s="18" t="s">
        <v>135</v>
      </c>
      <c r="F138" s="13">
        <f t="shared" si="29"/>
        <v>1045151.4140416955</v>
      </c>
      <c r="G138" s="13">
        <f t="shared" si="26"/>
        <v>-5673.4033668068023</v>
      </c>
      <c r="H138" s="13">
        <f t="shared" si="30"/>
        <v>-1050824.8174083463</v>
      </c>
      <c r="I138" s="13">
        <f t="shared" si="31"/>
        <v>-1045151.4140415395</v>
      </c>
      <c r="J138" s="18"/>
      <c r="K138" s="18" t="s">
        <v>135</v>
      </c>
      <c r="L138" s="13">
        <f t="shared" si="32"/>
        <v>1006205.2822595915</v>
      </c>
      <c r="M138" s="13">
        <f t="shared" si="27"/>
        <v>-4743.701327490051</v>
      </c>
      <c r="N138" s="13">
        <f t="shared" si="28"/>
        <v>-1010948.9835862392</v>
      </c>
      <c r="O138" s="13">
        <f t="shared" si="33"/>
        <v>-1006205.2822587491</v>
      </c>
    </row>
    <row r="139" spans="5:15" x14ac:dyDescent="0.25">
      <c r="E139" s="18" t="s">
        <v>25</v>
      </c>
      <c r="F139" s="13">
        <f>+F138+I138</f>
        <v>1.5599653124809265E-7</v>
      </c>
      <c r="G139" s="13">
        <f t="shared" si="26"/>
        <v>-8.4679715656759727E-10</v>
      </c>
      <c r="H139" s="13">
        <f>+$H$19</f>
        <v>-1050824.8174083463</v>
      </c>
      <c r="I139" s="13">
        <f>+H139-G139</f>
        <v>-1050824.8174083454</v>
      </c>
      <c r="J139" s="18"/>
      <c r="K139" s="18" t="s">
        <v>25</v>
      </c>
      <c r="L139" s="13">
        <f>+L138+O138</f>
        <v>8.4238126873970032E-7</v>
      </c>
      <c r="M139" s="13">
        <f t="shared" si="27"/>
        <v>-3.9713617223312667E-9</v>
      </c>
      <c r="N139" s="13">
        <f t="shared" si="28"/>
        <v>-1010948.9835862392</v>
      </c>
      <c r="O139" s="13">
        <f>+N139-M139</f>
        <v>-1010948.9835862352</v>
      </c>
    </row>
    <row r="140" spans="5:15" x14ac:dyDescent="0.25">
      <c r="E140" s="18"/>
      <c r="F140" s="13"/>
      <c r="H140" s="13"/>
      <c r="I140" s="13"/>
      <c r="J140" s="17"/>
      <c r="M140" s="13"/>
      <c r="N140" s="13"/>
    </row>
    <row r="141" spans="5:15" x14ac:dyDescent="0.25">
      <c r="E141" s="18"/>
      <c r="F141" s="13"/>
      <c r="H141" s="13"/>
      <c r="I141" s="13"/>
      <c r="J141" s="17"/>
      <c r="M141" s="13"/>
      <c r="N141" s="13"/>
    </row>
    <row r="142" spans="5:15" x14ac:dyDescent="0.25">
      <c r="E142" s="18"/>
      <c r="F142" s="13"/>
      <c r="H142" s="13"/>
      <c r="I142" s="13"/>
      <c r="J142" s="17"/>
    </row>
    <row r="143" spans="5:15" x14ac:dyDescent="0.25">
      <c r="E143" s="18"/>
      <c r="F143" s="13"/>
      <c r="H143" s="13"/>
      <c r="I143" s="13"/>
      <c r="J143" s="17"/>
    </row>
    <row r="144" spans="5:15" x14ac:dyDescent="0.25">
      <c r="E144" s="18"/>
      <c r="F144" s="13"/>
      <c r="H144" s="13"/>
      <c r="I144" s="13"/>
      <c r="J144" s="17"/>
    </row>
    <row r="145" spans="5:10" x14ac:dyDescent="0.25">
      <c r="E145" s="18"/>
      <c r="F145" s="13"/>
      <c r="H145" s="13"/>
      <c r="I145" s="13"/>
      <c r="J145" s="17"/>
    </row>
    <row r="146" spans="5:10" x14ac:dyDescent="0.25">
      <c r="E146" s="18"/>
      <c r="F146" s="13"/>
      <c r="H146" s="13"/>
      <c r="I146" s="13"/>
      <c r="J146" s="17"/>
    </row>
    <row r="147" spans="5:10" x14ac:dyDescent="0.25">
      <c r="E147" s="18"/>
      <c r="F147" s="13"/>
      <c r="H147" s="13"/>
      <c r="I147" s="13"/>
      <c r="J147" s="17"/>
    </row>
    <row r="148" spans="5:10" x14ac:dyDescent="0.25">
      <c r="E148" s="18"/>
      <c r="F148" s="13"/>
      <c r="H148" s="13"/>
      <c r="I148" s="13"/>
      <c r="J148" s="17"/>
    </row>
    <row r="149" spans="5:10" x14ac:dyDescent="0.25">
      <c r="E149" s="18"/>
      <c r="F149" s="13"/>
      <c r="H149" s="13"/>
      <c r="I149" s="13"/>
      <c r="J149" s="17"/>
    </row>
    <row r="150" spans="5:10" x14ac:dyDescent="0.25">
      <c r="E150" s="18"/>
      <c r="F150" s="13"/>
      <c r="H150" s="13"/>
      <c r="I150" s="13"/>
      <c r="J150" s="17"/>
    </row>
    <row r="151" spans="5:10" x14ac:dyDescent="0.25">
      <c r="E151" s="18"/>
      <c r="F151" s="13"/>
      <c r="H151" s="13"/>
      <c r="I151" s="13"/>
      <c r="J151" s="17"/>
    </row>
    <row r="152" spans="5:10" x14ac:dyDescent="0.25">
      <c r="E152" s="18"/>
      <c r="F152" s="13"/>
      <c r="H152" s="13"/>
      <c r="I152" s="13"/>
      <c r="J152" s="17"/>
    </row>
    <row r="153" spans="5:10" x14ac:dyDescent="0.25">
      <c r="E153" s="18"/>
      <c r="F153" s="13"/>
      <c r="H153" s="13"/>
      <c r="I153" s="13"/>
      <c r="J153" s="17"/>
    </row>
    <row r="154" spans="5:10" x14ac:dyDescent="0.25">
      <c r="E154" s="18"/>
      <c r="F154" s="13"/>
      <c r="H154" s="13"/>
      <c r="I154" s="13"/>
      <c r="J154" s="17"/>
    </row>
    <row r="155" spans="5:10" x14ac:dyDescent="0.25">
      <c r="E155" s="18"/>
      <c r="F155" s="13"/>
      <c r="H155" s="13"/>
      <c r="I155" s="13"/>
      <c r="J155" s="17"/>
    </row>
    <row r="156" spans="5:10" x14ac:dyDescent="0.25">
      <c r="E156" s="18"/>
      <c r="F156" s="13"/>
      <c r="H156" s="13"/>
      <c r="I156" s="13"/>
      <c r="J156" s="17"/>
    </row>
    <row r="157" spans="5:10" x14ac:dyDescent="0.25">
      <c r="E157" s="18"/>
      <c r="F157" s="13"/>
      <c r="H157" s="13"/>
      <c r="I157" s="13"/>
      <c r="J157" s="17"/>
    </row>
    <row r="158" spans="5:10" x14ac:dyDescent="0.25">
      <c r="E158" s="18"/>
      <c r="F158" s="13"/>
      <c r="H158" s="13"/>
      <c r="I158" s="13"/>
      <c r="J158" s="17"/>
    </row>
    <row r="159" spans="5:10" x14ac:dyDescent="0.25">
      <c r="E159" s="18"/>
      <c r="F159" s="13"/>
      <c r="H159" s="13"/>
      <c r="I159" s="13"/>
      <c r="J159" s="17"/>
    </row>
    <row r="160" spans="5:10" x14ac:dyDescent="0.25">
      <c r="E160" s="18"/>
      <c r="F160" s="13"/>
      <c r="H160" s="13"/>
      <c r="I160" s="13"/>
      <c r="J160" s="17"/>
    </row>
    <row r="161" spans="5:10" x14ac:dyDescent="0.25">
      <c r="E161" s="18"/>
      <c r="F161" s="13"/>
      <c r="H161" s="13"/>
      <c r="I161" s="13"/>
      <c r="J161" s="17"/>
    </row>
    <row r="162" spans="5:10" x14ac:dyDescent="0.25">
      <c r="E162" s="18"/>
      <c r="F162" s="13"/>
      <c r="H162" s="13"/>
      <c r="I162" s="13"/>
      <c r="J162" s="17"/>
    </row>
    <row r="163" spans="5:10" x14ac:dyDescent="0.25">
      <c r="E163" s="18"/>
      <c r="F163" s="13"/>
      <c r="H163" s="13"/>
      <c r="I163" s="13"/>
      <c r="J163" s="17"/>
    </row>
    <row r="164" spans="5:10" x14ac:dyDescent="0.25">
      <c r="E164" s="18"/>
      <c r="F164" s="13"/>
      <c r="H164" s="13"/>
      <c r="I164" s="13"/>
      <c r="J164" s="17"/>
    </row>
    <row r="165" spans="5:10" x14ac:dyDescent="0.25">
      <c r="E165" s="18"/>
      <c r="F165" s="13"/>
      <c r="H165" s="13"/>
      <c r="I165" s="13"/>
      <c r="J165" s="17"/>
    </row>
    <row r="166" spans="5:10" x14ac:dyDescent="0.25">
      <c r="E166" s="18"/>
      <c r="F166" s="13"/>
      <c r="H166" s="13"/>
      <c r="I166" s="13"/>
      <c r="J166" s="17"/>
    </row>
    <row r="167" spans="5:10" x14ac:dyDescent="0.25">
      <c r="E167" s="18"/>
      <c r="F167" s="13"/>
      <c r="H167" s="13"/>
      <c r="I167" s="13"/>
      <c r="J167" s="17"/>
    </row>
    <row r="168" spans="5:10" x14ac:dyDescent="0.25">
      <c r="E168" s="18"/>
      <c r="F168" s="13"/>
      <c r="H168" s="13"/>
      <c r="I168" s="13"/>
      <c r="J168" s="17"/>
    </row>
    <row r="169" spans="5:10" x14ac:dyDescent="0.25">
      <c r="E169" s="18"/>
      <c r="F169" s="13"/>
      <c r="H169" s="13"/>
      <c r="I169" s="13"/>
      <c r="J169" s="17"/>
    </row>
    <row r="170" spans="5:10" x14ac:dyDescent="0.25">
      <c r="E170" s="18"/>
      <c r="F170" s="13"/>
      <c r="H170" s="13"/>
      <c r="I170" s="13"/>
      <c r="J170" s="17"/>
    </row>
    <row r="171" spans="5:10" x14ac:dyDescent="0.25">
      <c r="E171" s="18"/>
      <c r="F171" s="13"/>
      <c r="H171" s="13"/>
      <c r="I171" s="13"/>
      <c r="J171" s="17"/>
    </row>
    <row r="172" spans="5:10" x14ac:dyDescent="0.25">
      <c r="E172" s="18"/>
      <c r="F172" s="13"/>
      <c r="H172" s="13"/>
      <c r="I172" s="13"/>
      <c r="J172" s="17"/>
    </row>
    <row r="173" spans="5:10" x14ac:dyDescent="0.25">
      <c r="E173" s="18"/>
      <c r="F173" s="13"/>
      <c r="H173" s="13"/>
      <c r="I173" s="13"/>
      <c r="J173" s="17"/>
    </row>
    <row r="174" spans="5:10" x14ac:dyDescent="0.25">
      <c r="E174" s="18"/>
      <c r="F174" s="13"/>
      <c r="H174" s="13"/>
      <c r="I174" s="13"/>
      <c r="J174" s="17"/>
    </row>
    <row r="175" spans="5:10" x14ac:dyDescent="0.25">
      <c r="E175" s="18"/>
      <c r="F175" s="13"/>
      <c r="H175" s="13"/>
      <c r="I175" s="13"/>
      <c r="J175" s="17"/>
    </row>
    <row r="176" spans="5:10" x14ac:dyDescent="0.25">
      <c r="E176" s="18"/>
      <c r="F176" s="13"/>
      <c r="H176" s="13"/>
      <c r="I176" s="13"/>
      <c r="J176" s="17"/>
    </row>
    <row r="177" spans="5:10" x14ac:dyDescent="0.25">
      <c r="E177" s="18"/>
      <c r="F177" s="13"/>
      <c r="H177" s="13"/>
      <c r="I177" s="13"/>
      <c r="J177" s="17"/>
    </row>
    <row r="178" spans="5:10" x14ac:dyDescent="0.25">
      <c r="E178" s="18"/>
      <c r="F178" s="13"/>
      <c r="H178" s="13"/>
      <c r="I178" s="13"/>
      <c r="J178" s="17"/>
    </row>
    <row r="179" spans="5:10" x14ac:dyDescent="0.25">
      <c r="E179" s="18"/>
      <c r="F179" s="13"/>
      <c r="H179" s="13"/>
      <c r="I179" s="13"/>
      <c r="J179" s="17"/>
    </row>
    <row r="180" spans="5:10" x14ac:dyDescent="0.25">
      <c r="E180" s="18"/>
      <c r="F180" s="13"/>
      <c r="H180" s="13"/>
      <c r="I180" s="13"/>
      <c r="J180" s="17"/>
    </row>
    <row r="181" spans="5:10" x14ac:dyDescent="0.25">
      <c r="E181" s="18"/>
      <c r="F181" s="13"/>
      <c r="H181" s="13"/>
      <c r="I181" s="13"/>
      <c r="J181" s="17"/>
    </row>
    <row r="182" spans="5:10" x14ac:dyDescent="0.25">
      <c r="E182" s="18"/>
      <c r="F182" s="13"/>
      <c r="H182" s="13"/>
      <c r="I182" s="13"/>
      <c r="J182" s="17"/>
    </row>
    <row r="183" spans="5:10" x14ac:dyDescent="0.25">
      <c r="E183" s="18"/>
      <c r="F183" s="13"/>
      <c r="H183" s="13"/>
      <c r="I183" s="13"/>
      <c r="J183" s="17"/>
    </row>
    <row r="184" spans="5:10" x14ac:dyDescent="0.25">
      <c r="E184" s="18"/>
      <c r="F184" s="13"/>
      <c r="H184" s="13"/>
      <c r="I184" s="13"/>
      <c r="J184" s="17"/>
    </row>
    <row r="185" spans="5:10" x14ac:dyDescent="0.25">
      <c r="E185" s="18"/>
      <c r="F185" s="13"/>
      <c r="H185" s="13"/>
      <c r="I185" s="13"/>
      <c r="J185" s="17"/>
    </row>
    <row r="186" spans="5:10" x14ac:dyDescent="0.25">
      <c r="E186" s="18"/>
      <c r="F186" s="13"/>
      <c r="H186" s="13"/>
      <c r="I186" s="13"/>
      <c r="J186" s="17"/>
    </row>
    <row r="187" spans="5:10" x14ac:dyDescent="0.25">
      <c r="E187" s="18"/>
      <c r="F187" s="13"/>
      <c r="H187" s="13"/>
      <c r="I187" s="13"/>
      <c r="J187" s="17"/>
    </row>
    <row r="188" spans="5:10" x14ac:dyDescent="0.25">
      <c r="E188" s="18"/>
      <c r="F188" s="13"/>
      <c r="H188" s="13"/>
      <c r="I188" s="13"/>
      <c r="J188" s="17"/>
    </row>
    <row r="189" spans="5:10" x14ac:dyDescent="0.25">
      <c r="E189" s="18"/>
      <c r="F189" s="13"/>
      <c r="H189" s="13"/>
      <c r="I189" s="13"/>
      <c r="J189" s="17"/>
    </row>
    <row r="190" spans="5:10" x14ac:dyDescent="0.25">
      <c r="E190" s="18"/>
      <c r="F190" s="13"/>
      <c r="H190" s="13"/>
      <c r="I190" s="13"/>
      <c r="J190" s="17"/>
    </row>
    <row r="191" spans="5:10" x14ac:dyDescent="0.25">
      <c r="E191" s="18"/>
      <c r="F191" s="13"/>
      <c r="H191" s="13"/>
      <c r="I191" s="13"/>
      <c r="J191" s="17"/>
    </row>
    <row r="192" spans="5:10" x14ac:dyDescent="0.25">
      <c r="E192" s="18"/>
      <c r="F192" s="13"/>
      <c r="H192" s="13"/>
      <c r="I192" s="13"/>
      <c r="J192" s="17"/>
    </row>
    <row r="193" spans="5:10" x14ac:dyDescent="0.25">
      <c r="E193" s="18"/>
      <c r="F193" s="13"/>
      <c r="H193" s="13"/>
      <c r="I193" s="13"/>
      <c r="J193" s="17"/>
    </row>
    <row r="194" spans="5:10" x14ac:dyDescent="0.25">
      <c r="E194" s="18"/>
      <c r="F194" s="13"/>
      <c r="H194" s="13"/>
      <c r="I194" s="13"/>
      <c r="J194" s="17"/>
    </row>
    <row r="195" spans="5:10" x14ac:dyDescent="0.25">
      <c r="E195" s="18"/>
      <c r="F195" s="13"/>
      <c r="H195" s="13"/>
      <c r="I195" s="13"/>
      <c r="J195" s="17"/>
    </row>
    <row r="196" spans="5:10" x14ac:dyDescent="0.25">
      <c r="E196" s="18"/>
      <c r="F196" s="13"/>
      <c r="H196" s="13"/>
      <c r="I196" s="13"/>
      <c r="J196" s="17"/>
    </row>
    <row r="197" spans="5:10" x14ac:dyDescent="0.25">
      <c r="E197" s="18"/>
      <c r="F197" s="13"/>
      <c r="H197" s="13"/>
      <c r="I197" s="13"/>
      <c r="J197" s="17"/>
    </row>
    <row r="198" spans="5:10" x14ac:dyDescent="0.25">
      <c r="E198" s="18"/>
      <c r="F198" s="13"/>
      <c r="H198" s="13"/>
      <c r="I198" s="13"/>
      <c r="J198" s="17"/>
    </row>
    <row r="199" spans="5:10" x14ac:dyDescent="0.25">
      <c r="E199" s="18"/>
      <c r="F199" s="13"/>
      <c r="H199" s="13"/>
      <c r="I199" s="13"/>
      <c r="J199" s="17"/>
    </row>
    <row r="200" spans="5:10" x14ac:dyDescent="0.25">
      <c r="E200" s="18"/>
      <c r="F200" s="13"/>
      <c r="H200" s="13"/>
      <c r="I200" s="13"/>
      <c r="J200" s="17"/>
    </row>
    <row r="201" spans="5:10" x14ac:dyDescent="0.25">
      <c r="E201" s="18"/>
      <c r="F201" s="13"/>
      <c r="H201" s="13"/>
      <c r="I201" s="13"/>
      <c r="J201" s="17"/>
    </row>
    <row r="202" spans="5:10" x14ac:dyDescent="0.25">
      <c r="E202" s="18"/>
      <c r="F202" s="13"/>
      <c r="H202" s="13"/>
      <c r="I202" s="13"/>
      <c r="J202" s="17"/>
    </row>
    <row r="203" spans="5:10" x14ac:dyDescent="0.25">
      <c r="E203" s="18"/>
      <c r="F203" s="13"/>
      <c r="H203" s="13"/>
      <c r="I203" s="13"/>
      <c r="J203" s="17"/>
    </row>
    <row r="204" spans="5:10" x14ac:dyDescent="0.25">
      <c r="E204" s="18"/>
      <c r="F204" s="13"/>
      <c r="H204" s="13"/>
      <c r="I204" s="13"/>
      <c r="J204" s="17"/>
    </row>
    <row r="205" spans="5:10" x14ac:dyDescent="0.25">
      <c r="E205" s="18"/>
      <c r="F205" s="13"/>
      <c r="H205" s="13"/>
      <c r="I205" s="13"/>
      <c r="J205" s="17"/>
    </row>
    <row r="206" spans="5:10" x14ac:dyDescent="0.25">
      <c r="E206" s="18"/>
      <c r="F206" s="13"/>
      <c r="H206" s="13"/>
      <c r="I206" s="13"/>
      <c r="J206" s="17"/>
    </row>
    <row r="207" spans="5:10" x14ac:dyDescent="0.25">
      <c r="E207" s="18"/>
      <c r="F207" s="13"/>
      <c r="H207" s="13"/>
      <c r="I207" s="13"/>
      <c r="J207" s="17"/>
    </row>
    <row r="208" spans="5:10" x14ac:dyDescent="0.25">
      <c r="E208" s="18"/>
      <c r="F208" s="13"/>
      <c r="H208" s="13"/>
      <c r="I208" s="13"/>
      <c r="J208" s="17"/>
    </row>
    <row r="209" spans="5:10" x14ac:dyDescent="0.25">
      <c r="E209" s="18"/>
      <c r="F209" s="13"/>
      <c r="H209" s="13"/>
      <c r="I209" s="13"/>
      <c r="J209" s="17"/>
    </row>
    <row r="210" spans="5:10" x14ac:dyDescent="0.25">
      <c r="E210" s="18"/>
      <c r="F210" s="13"/>
      <c r="H210" s="13"/>
      <c r="I210" s="13"/>
      <c r="J210" s="17"/>
    </row>
    <row r="211" spans="5:10" x14ac:dyDescent="0.25">
      <c r="E211" s="18"/>
      <c r="F211" s="13"/>
      <c r="H211" s="13"/>
      <c r="I211" s="13"/>
      <c r="J211" s="17"/>
    </row>
    <row r="212" spans="5:10" x14ac:dyDescent="0.25">
      <c r="E212" s="18"/>
      <c r="F212" s="13"/>
      <c r="H212" s="13"/>
      <c r="I212" s="13"/>
      <c r="J212" s="17"/>
    </row>
    <row r="213" spans="5:10" x14ac:dyDescent="0.25">
      <c r="E213" s="18"/>
      <c r="F213" s="13"/>
      <c r="H213" s="13"/>
      <c r="I213" s="13"/>
      <c r="J213" s="17"/>
    </row>
    <row r="214" spans="5:10" x14ac:dyDescent="0.25">
      <c r="E214" s="18"/>
      <c r="F214" s="13"/>
      <c r="H214" s="13"/>
      <c r="I214" s="13"/>
      <c r="J214" s="17"/>
    </row>
    <row r="215" spans="5:10" x14ac:dyDescent="0.25">
      <c r="E215" s="18"/>
      <c r="F215" s="13"/>
      <c r="H215" s="13"/>
      <c r="I215" s="13"/>
      <c r="J215" s="17"/>
    </row>
    <row r="216" spans="5:10" x14ac:dyDescent="0.25">
      <c r="E216" s="18"/>
      <c r="F216" s="13"/>
      <c r="H216" s="13"/>
      <c r="I216" s="13"/>
      <c r="J216" s="17"/>
    </row>
    <row r="217" spans="5:10" x14ac:dyDescent="0.25">
      <c r="E217" s="18"/>
      <c r="F217" s="13"/>
      <c r="H217" s="13"/>
      <c r="I217" s="13"/>
      <c r="J217" s="17"/>
    </row>
    <row r="218" spans="5:10" x14ac:dyDescent="0.25">
      <c r="E218" s="18"/>
      <c r="F218" s="13"/>
      <c r="H218" s="13"/>
      <c r="I218" s="13"/>
      <c r="J218" s="17"/>
    </row>
    <row r="219" spans="5:10" x14ac:dyDescent="0.25">
      <c r="E219" s="18"/>
      <c r="F219" s="13"/>
      <c r="H219" s="13"/>
      <c r="I219" s="13"/>
      <c r="J219" s="17"/>
    </row>
    <row r="220" spans="5:10" x14ac:dyDescent="0.25">
      <c r="E220" s="18"/>
      <c r="F220" s="13"/>
      <c r="H220" s="13"/>
      <c r="I220" s="13"/>
      <c r="J220" s="17"/>
    </row>
    <row r="221" spans="5:10" x14ac:dyDescent="0.25">
      <c r="E221" s="18"/>
      <c r="F221" s="13"/>
      <c r="H221" s="13"/>
      <c r="I221" s="13"/>
      <c r="J221" s="17"/>
    </row>
    <row r="222" spans="5:10" x14ac:dyDescent="0.25">
      <c r="E222" s="18"/>
      <c r="F222" s="13"/>
      <c r="H222" s="13"/>
      <c r="I222" s="13"/>
      <c r="J222" s="17"/>
    </row>
    <row r="223" spans="5:10" x14ac:dyDescent="0.25">
      <c r="E223" s="18"/>
      <c r="F223" s="13"/>
      <c r="H223" s="13"/>
      <c r="I223" s="13"/>
      <c r="J223" s="17"/>
    </row>
    <row r="224" spans="5:10" x14ac:dyDescent="0.25">
      <c r="E224" s="18"/>
      <c r="F224" s="13"/>
      <c r="H224" s="13"/>
      <c r="I224" s="13"/>
      <c r="J224" s="17"/>
    </row>
    <row r="225" spans="5:10" x14ac:dyDescent="0.25">
      <c r="E225" s="18"/>
      <c r="F225" s="13"/>
      <c r="H225" s="13"/>
      <c r="I225" s="13"/>
      <c r="J225" s="17"/>
    </row>
    <row r="226" spans="5:10" x14ac:dyDescent="0.25">
      <c r="E226" s="18"/>
      <c r="F226" s="13"/>
      <c r="H226" s="13"/>
      <c r="I226" s="13"/>
      <c r="J226" s="17"/>
    </row>
    <row r="227" spans="5:10" x14ac:dyDescent="0.25">
      <c r="E227" s="18"/>
      <c r="F227" s="13"/>
      <c r="H227" s="13"/>
      <c r="I227" s="13"/>
      <c r="J227" s="17"/>
    </row>
    <row r="228" spans="5:10" x14ac:dyDescent="0.25">
      <c r="E228" s="18"/>
      <c r="F228" s="13"/>
      <c r="H228" s="13"/>
      <c r="I228" s="13"/>
      <c r="J228" s="17"/>
    </row>
    <row r="229" spans="5:10" x14ac:dyDescent="0.25">
      <c r="E229" s="18"/>
      <c r="F229" s="13"/>
      <c r="H229" s="13"/>
      <c r="I229" s="13"/>
      <c r="J229" s="17"/>
    </row>
    <row r="230" spans="5:10" x14ac:dyDescent="0.25">
      <c r="E230" s="18"/>
      <c r="F230" s="13"/>
      <c r="H230" s="13"/>
      <c r="I230" s="13"/>
      <c r="J230" s="17"/>
    </row>
    <row r="231" spans="5:10" x14ac:dyDescent="0.25">
      <c r="E231" s="18"/>
      <c r="F231" s="13"/>
      <c r="H231" s="13"/>
      <c r="I231" s="13"/>
      <c r="J231" s="17"/>
    </row>
    <row r="232" spans="5:10" x14ac:dyDescent="0.25">
      <c r="E232" s="18"/>
      <c r="F232" s="13"/>
      <c r="H232" s="13"/>
      <c r="I232" s="13"/>
      <c r="J232" s="17"/>
    </row>
    <row r="233" spans="5:10" x14ac:dyDescent="0.25">
      <c r="E233" s="18"/>
      <c r="F233" s="13"/>
      <c r="H233" s="13"/>
      <c r="I233" s="13"/>
      <c r="J233" s="17"/>
    </row>
    <row r="234" spans="5:10" x14ac:dyDescent="0.25">
      <c r="E234" s="18"/>
      <c r="F234" s="13"/>
      <c r="H234" s="13"/>
      <c r="I234" s="13"/>
      <c r="J234" s="17"/>
    </row>
    <row r="235" spans="5:10" x14ac:dyDescent="0.25">
      <c r="E235" s="18"/>
      <c r="F235" s="13"/>
      <c r="H235" s="13"/>
      <c r="I235" s="13"/>
      <c r="J235" s="17"/>
    </row>
    <row r="236" spans="5:10" x14ac:dyDescent="0.25">
      <c r="E236" s="18"/>
      <c r="F236" s="13"/>
      <c r="H236" s="13"/>
      <c r="I236" s="13"/>
      <c r="J236" s="17"/>
    </row>
    <row r="237" spans="5:10" x14ac:dyDescent="0.25">
      <c r="E237" s="18"/>
      <c r="F237" s="13"/>
      <c r="H237" s="13"/>
      <c r="I237" s="13"/>
      <c r="J237" s="17"/>
    </row>
    <row r="238" spans="5:10" x14ac:dyDescent="0.25">
      <c r="E238" s="18"/>
      <c r="F238" s="13"/>
      <c r="H238" s="13"/>
      <c r="I238" s="13"/>
      <c r="J238" s="17"/>
    </row>
    <row r="239" spans="5:10" x14ac:dyDescent="0.25">
      <c r="E239" s="18"/>
      <c r="F239" s="13"/>
      <c r="H239" s="13"/>
      <c r="I239" s="13"/>
      <c r="J239" s="17"/>
    </row>
    <row r="240" spans="5:10" x14ac:dyDescent="0.25">
      <c r="E240" s="18"/>
      <c r="F240" s="13"/>
      <c r="H240" s="13"/>
      <c r="I240" s="13"/>
      <c r="J240" s="17"/>
    </row>
    <row r="241" spans="5:10" x14ac:dyDescent="0.25">
      <c r="E241" s="18"/>
      <c r="F241" s="13"/>
      <c r="H241" s="13"/>
      <c r="I241" s="13"/>
      <c r="J241" s="17"/>
    </row>
    <row r="242" spans="5:10" x14ac:dyDescent="0.25">
      <c r="E242" s="18"/>
      <c r="F242" s="13"/>
      <c r="H242" s="13"/>
      <c r="I242" s="13"/>
      <c r="J242" s="17"/>
    </row>
    <row r="243" spans="5:10" x14ac:dyDescent="0.25">
      <c r="E243" s="18"/>
      <c r="F243" s="13"/>
      <c r="H243" s="13"/>
      <c r="I243" s="13"/>
      <c r="J243" s="17"/>
    </row>
    <row r="244" spans="5:10" x14ac:dyDescent="0.25">
      <c r="E244" s="18"/>
      <c r="F244" s="13"/>
      <c r="H244" s="13"/>
      <c r="I244" s="13"/>
      <c r="J244" s="17"/>
    </row>
    <row r="245" spans="5:10" x14ac:dyDescent="0.25">
      <c r="E245" s="18"/>
      <c r="F245" s="13"/>
      <c r="H245" s="13"/>
      <c r="I245" s="13"/>
      <c r="J245" s="17"/>
    </row>
    <row r="246" spans="5:10" x14ac:dyDescent="0.25">
      <c r="E246" s="18"/>
      <c r="F246" s="13"/>
      <c r="H246" s="13"/>
      <c r="I246" s="13"/>
      <c r="J246" s="17"/>
    </row>
    <row r="247" spans="5:10" x14ac:dyDescent="0.25">
      <c r="E247" s="18"/>
      <c r="F247" s="13"/>
      <c r="H247" s="13"/>
      <c r="I247" s="13"/>
      <c r="J247" s="17"/>
    </row>
    <row r="248" spans="5:10" x14ac:dyDescent="0.25">
      <c r="E248" s="18"/>
      <c r="F248" s="13"/>
      <c r="H248" s="13"/>
      <c r="I248" s="13"/>
      <c r="J248" s="17"/>
    </row>
    <row r="249" spans="5:10" x14ac:dyDescent="0.25">
      <c r="E249" s="18"/>
      <c r="F249" s="13"/>
      <c r="H249" s="13"/>
      <c r="I249" s="13"/>
      <c r="J249" s="17"/>
    </row>
    <row r="250" spans="5:10" x14ac:dyDescent="0.25">
      <c r="E250" s="18"/>
      <c r="F250" s="13"/>
      <c r="H250" s="13"/>
      <c r="I250" s="13"/>
      <c r="J250" s="17"/>
    </row>
    <row r="251" spans="5:10" x14ac:dyDescent="0.25">
      <c r="E251" s="18"/>
      <c r="F251" s="13"/>
      <c r="H251" s="13"/>
      <c r="I251" s="13"/>
      <c r="J251" s="17"/>
    </row>
    <row r="252" spans="5:10" x14ac:dyDescent="0.25">
      <c r="E252" s="18"/>
      <c r="F252" s="13"/>
      <c r="H252" s="13"/>
      <c r="I252" s="13"/>
      <c r="J252" s="17"/>
    </row>
    <row r="253" spans="5:10" x14ac:dyDescent="0.25">
      <c r="E253" s="18"/>
      <c r="F253" s="13"/>
      <c r="H253" s="13"/>
      <c r="I253" s="13"/>
      <c r="J253" s="17"/>
    </row>
    <row r="254" spans="5:10" x14ac:dyDescent="0.25">
      <c r="E254" s="18"/>
      <c r="F254" s="13"/>
      <c r="H254" s="13"/>
      <c r="I254" s="13"/>
      <c r="J254" s="17"/>
    </row>
    <row r="255" spans="5:10" x14ac:dyDescent="0.25">
      <c r="E255" s="18"/>
      <c r="F255" s="13"/>
      <c r="H255" s="13"/>
      <c r="I255" s="13"/>
      <c r="J255" s="17"/>
    </row>
    <row r="256" spans="5:10" x14ac:dyDescent="0.25">
      <c r="E256" s="18"/>
      <c r="F256" s="13"/>
      <c r="H256" s="13"/>
      <c r="I256" s="13"/>
      <c r="J256" s="17"/>
    </row>
    <row r="257" spans="5:10" x14ac:dyDescent="0.25">
      <c r="E257" s="18"/>
      <c r="F257" s="13"/>
      <c r="H257" s="13"/>
      <c r="I257" s="13"/>
      <c r="J257" s="17"/>
    </row>
    <row r="258" spans="5:10" x14ac:dyDescent="0.25">
      <c r="E258" s="18"/>
      <c r="F258" s="13"/>
      <c r="H258" s="13"/>
      <c r="I258" s="13"/>
      <c r="J258" s="17"/>
    </row>
    <row r="259" spans="5:10" x14ac:dyDescent="0.25">
      <c r="E259" s="18"/>
      <c r="F259" s="13"/>
      <c r="H259" s="13"/>
      <c r="I259" s="13"/>
      <c r="J259" s="17"/>
    </row>
    <row r="260" spans="5:10" x14ac:dyDescent="0.25">
      <c r="J260" s="17"/>
    </row>
    <row r="1048527" spans="5:5" x14ac:dyDescent="0.25">
      <c r="E1048527" s="17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Proyecto Puro</vt:lpstr>
      <vt:lpstr>Proyecto Financiado</vt:lpstr>
      <vt:lpstr>Participación Soc.</vt:lpstr>
      <vt:lpstr>Negocio</vt:lpstr>
      <vt:lpstr>Departamento Tipo</vt:lpstr>
      <vt:lpstr>Cifras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Panzer20</dc:creator>
  <cp:lastModifiedBy>Sergio Pérez Acevedo</cp:lastModifiedBy>
  <dcterms:created xsi:type="dcterms:W3CDTF">2016-01-16T20:41:26Z</dcterms:created>
  <dcterms:modified xsi:type="dcterms:W3CDTF">2017-05-22T08:40:51Z</dcterms:modified>
</cp:coreProperties>
</file>